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3.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5.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6.xml" ContentType="application/vnd.openxmlformats-officedocument.drawingml.chart+xml"/>
  <Override PartName="/xl/drawings/drawing15.xml" ContentType="application/vnd.openxmlformats-officedocument.drawingml.chartshapes+xml"/>
  <Override PartName="/xl/drawings/drawing16.xml" ContentType="application/vnd.openxmlformats-officedocument.drawing+xml"/>
  <Override PartName="/xl/charts/chart7.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harts/chart8.xml" ContentType="application/vnd.openxmlformats-officedocument.drawingml.chart+xml"/>
  <Override PartName="/xl/drawings/drawing19.xml" ContentType="application/vnd.openxmlformats-officedocument.drawingml.chartshapes+xml"/>
  <Override PartName="/xl/drawings/drawing20.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showInkAnnotation="0" codeName="DieseArbeitsmappe" defaultThemeVersion="124226"/>
  <mc:AlternateContent xmlns:mc="http://schemas.openxmlformats.org/markup-compatibility/2006">
    <mc:Choice Requires="x15">
      <x15ac:absPath xmlns:x15ac="http://schemas.microsoft.com/office/spreadsheetml/2010/11/ac" url="C:\Users\sjung\Desktop\Kreisversammlungen Frühjahr 2023\"/>
    </mc:Choice>
  </mc:AlternateContent>
  <xr:revisionPtr revIDLastSave="0" documentId="13_ncr:1_{7CAC1EF7-A780-4445-9C92-60643638D021}" xr6:coauthVersionLast="47" xr6:coauthVersionMax="47" xr10:uidLastSave="{00000000-0000-0000-0000-000000000000}"/>
  <bookViews>
    <workbookView xWindow="-120" yWindow="-120" windowWidth="29040" windowHeight="15840" tabRatio="808" firstSheet="5" activeTab="5" xr2:uid="{00000000-000D-0000-FFFF-FFFF00000000}"/>
  </bookViews>
  <sheets>
    <sheet name="Einführung" sheetId="24" r:id="rId1"/>
    <sheet name="DüV-N-Ackerbau (1)" sheetId="41" r:id="rId2"/>
    <sheet name="DüV-N-Ackerbau (2)" sheetId="78" state="hidden" r:id="rId3"/>
    <sheet name="DüV-N-Ackerbau (3)" sheetId="79" state="hidden" r:id="rId4"/>
    <sheet name="DüV-N-Ackerbau (4)" sheetId="80" state="hidden" r:id="rId5"/>
    <sheet name="DüV-N-Ackerbau NbG" sheetId="72" r:id="rId6"/>
    <sheet name="DüV-N-Zweit-Zwischenfrucht" sheetId="76" r:id="rId7"/>
    <sheet name="DüV-N-Zweit-Zwischenfrucht NbG" sheetId="77" r:id="rId8"/>
    <sheet name="DüV-N-Grünland" sheetId="67" r:id="rId9"/>
    <sheet name="DüV-N-Grünland NbG" sheetId="74" r:id="rId10"/>
    <sheet name="DüV-N-Feldfutter" sheetId="66" r:id="rId11"/>
    <sheet name="DüV-N-Feldfutter NbG" sheetId="75" r:id="rId12"/>
    <sheet name="N-Weinbau" sheetId="71" state="hidden" r:id="rId13"/>
    <sheet name="N-Weinbau NbG" sheetId="73" state="hidden" r:id="rId14"/>
    <sheet name="Auswertung" sheetId="65" r:id="rId15"/>
    <sheet name="Düngemittel" sheetId="68" r:id="rId16"/>
    <sheet name="Tierhaltung" sheetId="45" r:id="rId17"/>
    <sheet name="Organ. Dünger" sheetId="46" r:id="rId18"/>
    <sheet name="Daten Tierhaltung" sheetId="44" r:id="rId19"/>
    <sheet name="PKMg-Planer Ackerland" sheetId="36" r:id="rId20"/>
    <sheet name="PKMg-Planer Grünland" sheetId="42" r:id="rId21"/>
    <sheet name="Wz" sheetId="40" r:id="rId22"/>
    <sheet name="Trit" sheetId="49" r:id="rId23"/>
    <sheet name="Ro" sheetId="50" r:id="rId24"/>
    <sheet name="Wi-FuGe" sheetId="51" r:id="rId25"/>
    <sheet name="Wi-BrGe" sheetId="52" r:id="rId26"/>
    <sheet name="So-Ge" sheetId="53" r:id="rId27"/>
    <sheet name="Hafer" sheetId="54" r:id="rId28"/>
    <sheet name="ZRübe" sheetId="64" r:id="rId29"/>
    <sheet name="Raps" sheetId="55" r:id="rId30"/>
    <sheet name="K-Mais" sheetId="56" r:id="rId31"/>
    <sheet name="S-Mais" sheetId="57" r:id="rId32"/>
    <sheet name="Kart" sheetId="58" r:id="rId33"/>
    <sheet name="FrühKart" sheetId="59" r:id="rId34"/>
    <sheet name="Wiese" sheetId="60" r:id="rId35"/>
    <sheet name="Weide" sheetId="61" r:id="rId36"/>
    <sheet name="Mähweide" sheetId="62" r:id="rId37"/>
    <sheet name="GrasKleeLuz" sheetId="63" r:id="rId38"/>
    <sheet name="Faktoren" sheetId="39" r:id="rId39"/>
    <sheet name="Funktionen" sheetId="3" r:id="rId40"/>
  </sheets>
  <externalReferences>
    <externalReference r:id="rId41"/>
  </externalReferences>
  <definedNames>
    <definedName name="_23.02.21" localSheetId="8">'DüV-N-Grünland'!$V$8</definedName>
    <definedName name="_23.02.21" localSheetId="9">'DüV-N-Grünland NbG'!$V$8</definedName>
    <definedName name="Abreife" localSheetId="33">FrühKart!$J$27:$J$27</definedName>
    <definedName name="Abreife" localSheetId="37">GrasKleeLuz!#REF!</definedName>
    <definedName name="Abreife" localSheetId="27">Hafer!$J$36:$J$38</definedName>
    <definedName name="Abreife" localSheetId="32">Kart!#REF!</definedName>
    <definedName name="Abreife" localSheetId="30">'K-Mais'!$J$29:$J$31</definedName>
    <definedName name="Abreife" localSheetId="36">Mähweide!#REF!</definedName>
    <definedName name="Abreife" localSheetId="31">'S-Mais'!$G$46:$G$46</definedName>
    <definedName name="Abreife" localSheetId="26">'So-Ge'!$J$12:$J$14</definedName>
    <definedName name="Abreife" localSheetId="35">Weide!#REF!</definedName>
    <definedName name="Abreife" localSheetId="34">Wiese!#REF!</definedName>
    <definedName name="Abreife" localSheetId="28">ZRübe!#REF!</definedName>
    <definedName name="Abreife">#REF!</definedName>
    <definedName name="Ackerfutter" localSheetId="1">'DüV-N-Ackerbau (1)'!#REF!</definedName>
    <definedName name="Ackerfutter" localSheetId="2">'DüV-N-Ackerbau (2)'!#REF!</definedName>
    <definedName name="Ackerfutter" localSheetId="3">'DüV-N-Ackerbau (3)'!#REF!</definedName>
    <definedName name="Ackerfutter" localSheetId="4">'DüV-N-Ackerbau (4)'!#REF!</definedName>
    <definedName name="Ackerfutter" localSheetId="5">'DüV-N-Ackerbau NbG'!#REF!</definedName>
    <definedName name="Ackerfutter" localSheetId="10">'DüV-N-Feldfutter'!$BO$8:$BQ$18</definedName>
    <definedName name="Ackerfutter" localSheetId="11">'DüV-N-Feldfutter NbG'!$BO$8:$BQ$20</definedName>
    <definedName name="Ackerfutter" localSheetId="8">'DüV-N-Grünland'!$CI$6:$CK$13</definedName>
    <definedName name="Ackerfutter" localSheetId="9">'DüV-N-Grünland NbG'!$CJ$6:$CJ$6</definedName>
    <definedName name="Ackerfutter" localSheetId="6">'DüV-N-Zweit-Zwischenfrucht'!$BB$8:$BD$17</definedName>
    <definedName name="Ackerfutter" localSheetId="7">'DüV-N-Zweit-Zwischenfrucht NbG'!$BB$8:$BD$17</definedName>
    <definedName name="Ackerfutter" localSheetId="12">'N-Weinbau'!#REF!</definedName>
    <definedName name="Ackerfutter" localSheetId="13">'N-Weinbau NbG'!#REF!</definedName>
    <definedName name="Ackerfutter">#REF!</definedName>
    <definedName name="Aufnahme_organischer_Dünger__Wirtschaftsdünger_und_Gärreste__von_anderen_Betrieben__ohne_Kompost">Düngemittel!$B$6:$B$64</definedName>
    <definedName name="cvbx">#REF!</definedName>
    <definedName name="Daten_GL_Futter" localSheetId="10">#REF!</definedName>
    <definedName name="Daten_GL_Futter" localSheetId="11">#REF!</definedName>
    <definedName name="Daten_GL_Futter" localSheetId="8">#REF!</definedName>
    <definedName name="Daten_GL_Futter" localSheetId="9">#REF!</definedName>
    <definedName name="Daten_GL_Futter" localSheetId="6">#REF!</definedName>
    <definedName name="Daten_GL_Futter" localSheetId="7">#REF!</definedName>
    <definedName name="Daten_GL_Futter">#REF!</definedName>
    <definedName name="_xlnm.Print_Area" localSheetId="14">Auswertung!$A$5:$R$41</definedName>
    <definedName name="_xlnm.Print_Area" localSheetId="15">Düngemittel!$A$1:$G$96</definedName>
    <definedName name="_xlnm.Print_Area" localSheetId="1">'DüV-N-Ackerbau (1)'!$A$1:$BE$32</definedName>
    <definedName name="_xlnm.Print_Area" localSheetId="2">'DüV-N-Ackerbau (2)'!$A$1:$BE$32</definedName>
    <definedName name="_xlnm.Print_Area" localSheetId="3">'DüV-N-Ackerbau (3)'!$A$1:$BE$32</definedName>
    <definedName name="_xlnm.Print_Area" localSheetId="4">'DüV-N-Ackerbau (4)'!$A$1:$BE$32</definedName>
    <definedName name="_xlnm.Print_Area" localSheetId="5">'DüV-N-Ackerbau NbG'!$A$1:$BE$32</definedName>
    <definedName name="_xlnm.Print_Area" localSheetId="10">'DüV-N-Feldfutter'!$A$1:$BA$32</definedName>
    <definedName name="_xlnm.Print_Area" localSheetId="11">'DüV-N-Feldfutter NbG'!$A$1:$BA$32</definedName>
    <definedName name="_xlnm.Print_Area" localSheetId="8">'DüV-N-Grünland'!$A$1:$CK$32</definedName>
    <definedName name="_xlnm.Print_Area" localSheetId="9">'DüV-N-Grünland NbG'!$A$1:$CK$32</definedName>
    <definedName name="_xlnm.Print_Area" localSheetId="6">'DüV-N-Zweit-Zwischenfrucht'!$A$1:$AM$32</definedName>
    <definedName name="_xlnm.Print_Area" localSheetId="7">'DüV-N-Zweit-Zwischenfrucht NbG'!$A$1:$AM$32</definedName>
    <definedName name="_xlnm.Print_Area" localSheetId="33">FrühKart!$A$1:$D$48</definedName>
    <definedName name="_xlnm.Print_Area" localSheetId="37">GrasKleeLuz!$A$1:$K$43</definedName>
    <definedName name="_xlnm.Print_Area" localSheetId="27">Hafer!$A$1:$D$50</definedName>
    <definedName name="_xlnm.Print_Area" localSheetId="32">Kart!$A$1:$D$48</definedName>
    <definedName name="_xlnm.Print_Area" localSheetId="30">'K-Mais'!$A$1:$D$49</definedName>
    <definedName name="_xlnm.Print_Area" localSheetId="36">Mähweide!$A$1:$N$43</definedName>
    <definedName name="_xlnm.Print_Area" localSheetId="12">'N-Weinbau'!$A$1:$AN$32</definedName>
    <definedName name="_xlnm.Print_Area" localSheetId="13">'N-Weinbau NbG'!$A$1:$AN$32</definedName>
    <definedName name="_xlnm.Print_Area" localSheetId="19">'PKMg-Planer Ackerland'!$B$2:$P$46</definedName>
    <definedName name="_xlnm.Print_Area" localSheetId="20">'PKMg-Planer Grünland'!$C$2:$Q$22</definedName>
    <definedName name="_xlnm.Print_Area" localSheetId="29">Raps!$A$1:$D$50</definedName>
    <definedName name="_xlnm.Print_Area" localSheetId="23">Ro!$A$1:$D$54</definedName>
    <definedName name="_xlnm.Print_Area" localSheetId="31">'S-Mais'!$A$1:$E$50</definedName>
    <definedName name="_xlnm.Print_Area" localSheetId="26">'So-Ge'!$A$1:$D$51</definedName>
    <definedName name="_xlnm.Print_Area" localSheetId="16">Tierhaltung!$A$1:$S$43</definedName>
    <definedName name="_xlnm.Print_Area" localSheetId="22">Trit!$A$1:$D$54</definedName>
    <definedName name="_xlnm.Print_Area" localSheetId="35">Weide!$A$1:$M$46</definedName>
    <definedName name="_xlnm.Print_Area" localSheetId="25">'Wi-BrGe'!$A$1:$D$53</definedName>
    <definedName name="_xlnm.Print_Area" localSheetId="34">Wiese!$A$1:$O$45</definedName>
    <definedName name="_xlnm.Print_Area" localSheetId="24">'Wi-FuGe'!$A$1:$D$53</definedName>
    <definedName name="_xlnm.Print_Area" localSheetId="21">Wz!$A$1:$D$54</definedName>
    <definedName name="_xlnm.Print_Area" localSheetId="28">ZRübe!$A$1:$G$52</definedName>
    <definedName name="Düngemittel" localSheetId="9">'DüV-N-Grünland NbG'!$U$52:$Z$87</definedName>
    <definedName name="Düngemittel">'DüV-N-Grünland'!$U$52:$Z$87</definedName>
    <definedName name="FM" localSheetId="29">Raps!$J$12:$J$18</definedName>
    <definedName name="FM">#REF!</definedName>
    <definedName name="Großvieheinheit">#REF!</definedName>
    <definedName name="Grünlandhumus" localSheetId="1">'DüV-N-Ackerbau (1)'!$CD$9:$CF$13</definedName>
    <definedName name="Grünlandhumus" localSheetId="2">'DüV-N-Ackerbau (2)'!$CD$9:$CF$13</definedName>
    <definedName name="Grünlandhumus" localSheetId="3">'DüV-N-Ackerbau (3)'!$CD$9:$CF$13</definedName>
    <definedName name="Grünlandhumus" localSheetId="4">'DüV-N-Ackerbau (4)'!$CD$9:$CF$13</definedName>
    <definedName name="Grünlandhumus" localSheetId="5">'DüV-N-Ackerbau NbG'!$CD$9:$CF$13</definedName>
    <definedName name="Grünlandhumus" localSheetId="10">'DüV-N-Feldfutter'!$BS$8:$BU$12</definedName>
    <definedName name="Grünlandhumus" localSheetId="11">'DüV-N-Feldfutter NbG'!$BS$8:$BU$12</definedName>
    <definedName name="Grünlandhumus" localSheetId="8">'DüV-N-Grünland'!$CM$6:$CP$10</definedName>
    <definedName name="Grünlandhumus" localSheetId="9">'DüV-N-Grünland NbG'!$CL$6:$CN$10</definedName>
    <definedName name="Grünlandhumus" localSheetId="6">'DüV-N-Zweit-Zwischenfrucht'!$BF$8:$BH$12</definedName>
    <definedName name="Grünlandhumus" localSheetId="7">'DüV-N-Zweit-Zwischenfrucht NbG'!$BF$8:$BH$12</definedName>
    <definedName name="Grünlandhumus" localSheetId="12">'N-Weinbau'!$BC$10:$BC$14</definedName>
    <definedName name="Grünlandhumus" localSheetId="13">'N-Weinbau NbG'!$BC$10:$BC$14</definedName>
    <definedName name="Grünlandhumus">#REF!</definedName>
    <definedName name="Grünlandleguminosen" localSheetId="1">'DüV-N-Ackerbau (1)'!$CE$17:$CF$22</definedName>
    <definedName name="Grünlandleguminosen" localSheetId="2">'DüV-N-Ackerbau (2)'!$CE$17:$CF$22</definedName>
    <definedName name="Grünlandleguminosen" localSheetId="3">'DüV-N-Ackerbau (3)'!$CE$17:$CF$22</definedName>
    <definedName name="Grünlandleguminosen" localSheetId="4">'DüV-N-Ackerbau (4)'!$CE$17:$CF$22</definedName>
    <definedName name="Grünlandleguminosen" localSheetId="5">'DüV-N-Ackerbau NbG'!$CE$17:$CF$22</definedName>
    <definedName name="Grünlandleguminosen" localSheetId="10">'DüV-N-Feldfutter'!$BT$25:$BU$28</definedName>
    <definedName name="Grünlandleguminosen" localSheetId="11">'DüV-N-Feldfutter NbG'!$BT$25:$BU$28</definedName>
    <definedName name="Grünlandleguminosen" localSheetId="8">'DüV-N-Grünland'!$CO$17:$CP$20</definedName>
    <definedName name="Grünlandleguminosen" localSheetId="9">'DüV-N-Grünland NbG'!$CM$17:$CN$20</definedName>
    <definedName name="Grünlandleguminosen" localSheetId="6">'DüV-N-Zweit-Zwischenfrucht'!$BG$25:$BH$28</definedName>
    <definedName name="Grünlandleguminosen" localSheetId="7">'DüV-N-Zweit-Zwischenfrucht NbG'!$BG$25:$BH$28</definedName>
    <definedName name="Grünlandleguminosen" localSheetId="12">'N-Weinbau'!$BC$18:$BC$26</definedName>
    <definedName name="Grünlandleguminosen" localSheetId="13">'N-Weinbau NbG'!$BC$18:$BC$26</definedName>
    <definedName name="Grünlandleguminosen">#REF!</definedName>
    <definedName name="Grünlandschlag">#REF!</definedName>
    <definedName name="Humus" localSheetId="1">'DüV-N-Ackerbau (1)'!$BW$90:$BX$91</definedName>
    <definedName name="Humus" localSheetId="2">'DüV-N-Ackerbau (2)'!$BW$90:$BX$91</definedName>
    <definedName name="Humus" localSheetId="3">'DüV-N-Ackerbau (3)'!$BW$90:$BX$91</definedName>
    <definedName name="Humus" localSheetId="4">'DüV-N-Ackerbau (4)'!$BW$90:$BX$91</definedName>
    <definedName name="Humus" localSheetId="5">'DüV-N-Ackerbau NbG'!$BW$90:$BX$91</definedName>
    <definedName name="Humus" localSheetId="10">'DüV-N-Feldfutter'!$BO$37:$BP$37</definedName>
    <definedName name="Humus" localSheetId="11">'DüV-N-Feldfutter NbG'!$BO$37:$BP$37</definedName>
    <definedName name="Humus" localSheetId="8">'DüV-N-Grünland'!$CI$33:$CJ$33</definedName>
    <definedName name="Humus" localSheetId="9">'DüV-N-Grünland NbG'!$CJ$8:$CJ$8</definedName>
    <definedName name="Humus" localSheetId="6">'DüV-N-Zweit-Zwischenfrucht'!$BB$37:$BC$37</definedName>
    <definedName name="Humus" localSheetId="7">'DüV-N-Zweit-Zwischenfrucht NbG'!$BB$37:$BC$37</definedName>
    <definedName name="Humus" localSheetId="33">#REF!</definedName>
    <definedName name="Humus" localSheetId="37">#REF!</definedName>
    <definedName name="Humus" localSheetId="27">#REF!</definedName>
    <definedName name="Humus" localSheetId="32">#REF!</definedName>
    <definedName name="Humus" localSheetId="30">#REF!</definedName>
    <definedName name="Humus" localSheetId="36">#REF!</definedName>
    <definedName name="Humus" localSheetId="12">'N-Weinbau'!#REF!</definedName>
    <definedName name="Humus" localSheetId="13">'N-Weinbau NbG'!#REF!</definedName>
    <definedName name="Humus" localSheetId="20">#REF!</definedName>
    <definedName name="Humus" localSheetId="29">#REF!</definedName>
    <definedName name="Humus" localSheetId="23">#REF!</definedName>
    <definedName name="Humus" localSheetId="31">#REF!</definedName>
    <definedName name="Humus" localSheetId="26">#REF!</definedName>
    <definedName name="Humus" localSheetId="22">#REF!</definedName>
    <definedName name="Humus" localSheetId="35">#REF!</definedName>
    <definedName name="Humus" localSheetId="25">#REF!</definedName>
    <definedName name="Humus" localSheetId="34">#REF!</definedName>
    <definedName name="Humus" localSheetId="24">#REF!</definedName>
    <definedName name="Humus" localSheetId="21">#REF!</definedName>
    <definedName name="Humus" localSheetId="28">#REF!</definedName>
    <definedName name="Humus">#REF!</definedName>
    <definedName name="Humus2" localSheetId="10">#REF!</definedName>
    <definedName name="Humus2" localSheetId="11">#REF!</definedName>
    <definedName name="Humus2" localSheetId="8">#REF!</definedName>
    <definedName name="Humus2" localSheetId="9">#REF!</definedName>
    <definedName name="Humus2" localSheetId="6">#REF!</definedName>
    <definedName name="Humus2" localSheetId="7">#REF!</definedName>
    <definedName name="Humus2" localSheetId="33">#REF!</definedName>
    <definedName name="Humus2" localSheetId="37">#REF!</definedName>
    <definedName name="Humus2" localSheetId="27">#REF!</definedName>
    <definedName name="Humus2" localSheetId="32">#REF!</definedName>
    <definedName name="Humus2" localSheetId="30">#REF!</definedName>
    <definedName name="Humus2" localSheetId="36">#REF!</definedName>
    <definedName name="Humus2" localSheetId="20">#REF!</definedName>
    <definedName name="Humus2" localSheetId="29">#REF!</definedName>
    <definedName name="Humus2" localSheetId="23">#REF!</definedName>
    <definedName name="Humus2" localSheetId="31">#REF!</definedName>
    <definedName name="Humus2" localSheetId="26">#REF!</definedName>
    <definedName name="Humus2" localSheetId="22">#REF!</definedName>
    <definedName name="Humus2" localSheetId="35">#REF!</definedName>
    <definedName name="Humus2" localSheetId="25">#REF!</definedName>
    <definedName name="Humus2" localSheetId="34">#REF!</definedName>
    <definedName name="Humus2" localSheetId="24">#REF!</definedName>
    <definedName name="Humus2" localSheetId="28">#REF!</definedName>
    <definedName name="Humus2">#REF!</definedName>
    <definedName name="Kompost">'[1]Daten Düngemittel'!$B$54:$B$60</definedName>
    <definedName name="Kulturen" localSheetId="1">'DüV-N-Ackerbau (1)'!$BW$4:$CA$44</definedName>
    <definedName name="Kulturen" localSheetId="2">'DüV-N-Ackerbau (2)'!$BW$4:$CA$44</definedName>
    <definedName name="Kulturen" localSheetId="3">'DüV-N-Ackerbau (3)'!$BW$4:$CA$44</definedName>
    <definedName name="Kulturen" localSheetId="4">'DüV-N-Ackerbau (4)'!$BW$4:$CA$44</definedName>
    <definedName name="Kulturen" localSheetId="5">'DüV-N-Ackerbau NbG'!$BW$4:$CA$44</definedName>
    <definedName name="Kulturen" localSheetId="10">'DüV-N-Feldfutter'!#REF!</definedName>
    <definedName name="Kulturen" localSheetId="11">'DüV-N-Feldfutter NbG'!#REF!</definedName>
    <definedName name="Kulturen" localSheetId="8">'DüV-N-Grünland'!#REF!</definedName>
    <definedName name="Kulturen" localSheetId="9">'DüV-N-Grünland NbG'!#REF!</definedName>
    <definedName name="Kulturen" localSheetId="6">'DüV-N-Zweit-Zwischenfrucht'!#REF!</definedName>
    <definedName name="Kulturen" localSheetId="7">'DüV-N-Zweit-Zwischenfrucht NbG'!#REF!</definedName>
    <definedName name="Kulturen" localSheetId="33">#REF!</definedName>
    <definedName name="Kulturen" localSheetId="37">#REF!</definedName>
    <definedName name="Kulturen" localSheetId="27">#REF!</definedName>
    <definedName name="Kulturen" localSheetId="32">#REF!</definedName>
    <definedName name="Kulturen" localSheetId="30">#REF!</definedName>
    <definedName name="Kulturen" localSheetId="36">#REF!</definedName>
    <definedName name="Kulturen" localSheetId="12">'N-Weinbau'!#REF!</definedName>
    <definedName name="Kulturen" localSheetId="13">'N-Weinbau NbG'!#REF!</definedName>
    <definedName name="Kulturen" localSheetId="20">#REF!</definedName>
    <definedName name="Kulturen" localSheetId="29">#REF!</definedName>
    <definedName name="Kulturen" localSheetId="23">#REF!</definedName>
    <definedName name="Kulturen" localSheetId="31">#REF!</definedName>
    <definedName name="Kulturen" localSheetId="26">#REF!</definedName>
    <definedName name="Kulturen" localSheetId="22">#REF!</definedName>
    <definedName name="Kulturen" localSheetId="35">#REF!</definedName>
    <definedName name="Kulturen" localSheetId="25">#REF!</definedName>
    <definedName name="Kulturen" localSheetId="34">#REF!</definedName>
    <definedName name="Kulturen" localSheetId="24">#REF!</definedName>
    <definedName name="Kulturen" localSheetId="21">#REF!</definedName>
    <definedName name="Kulturen" localSheetId="28">#REF!</definedName>
    <definedName name="Kulturen">#REF!</definedName>
    <definedName name="loD" localSheetId="33">FrühKart!$J$21:$J$26</definedName>
    <definedName name="loD" localSheetId="37">GrasKleeLuz!$N$20:$N$21</definedName>
    <definedName name="loD" localSheetId="27">Hafer!$J$21:$J$26</definedName>
    <definedName name="loD" localSheetId="32">Kart!$I$21:$I$26</definedName>
    <definedName name="loD" localSheetId="30">'K-Mais'!$J$12:$J$17</definedName>
    <definedName name="loD" localSheetId="36">Mähweide!$P$28:$P$33</definedName>
    <definedName name="loD" localSheetId="31">'S-Mais'!$J$22:$J$27</definedName>
    <definedName name="loD" localSheetId="26">'So-Ge'!$J$21:$J$26</definedName>
    <definedName name="loD" localSheetId="35">Weide!$P$27:$P$31</definedName>
    <definedName name="loD" localSheetId="34">Wiese!$R$27:$R$31</definedName>
    <definedName name="loD" localSheetId="28">ZRübe!$M$22:$M$27</definedName>
    <definedName name="loD">#REF!</definedName>
    <definedName name="N_Bindung_der_Leguminosen" localSheetId="37">GrasKleeLuz!$N$10:$N$21</definedName>
    <definedName name="N_Bindung_der_Leguminosen">#REF!</definedName>
    <definedName name="NP_Lösung_10_34" localSheetId="11">'DüV-N-Feldfutter NbG'!$U$9</definedName>
    <definedName name="NP_Lösung_10_34" localSheetId="6">'DüV-N-Zweit-Zwischenfrucht'!$U$9</definedName>
    <definedName name="NP_Lösung_10_34" localSheetId="7">'DüV-N-Zweit-Zwischenfrucht NbG'!$U$9</definedName>
    <definedName name="NP_Lösung_10_34">'DüV-N-Feldfutter'!$U$9</definedName>
    <definedName name="oD" localSheetId="29">Raps!$J$23:$J$28</definedName>
    <definedName name="oD" localSheetId="23">Ro!$J$12:$J$17</definedName>
    <definedName name="oD" localSheetId="22">Trit!$J$12:$J$17</definedName>
    <definedName name="oD" localSheetId="25">'Wi-BrGe'!$J$12:$J$17</definedName>
    <definedName name="oD" localSheetId="24">'Wi-FuGe'!$J$12:$J$17</definedName>
    <definedName name="oD" localSheetId="21">Wz!$I$21:$I$26</definedName>
    <definedName name="oD">#REF!</definedName>
    <definedName name="OrgDg">'[1]Daten Düngemittel'!$B$5:$B$51</definedName>
    <definedName name="OrgDgohne">'[1]Daten Düngemittel'!$B$5:$B$45</definedName>
    <definedName name="Ponys_und_Kleinpferde" localSheetId="9">'DüV-N-Grünland NbG'!#REF!</definedName>
    <definedName name="Ponys_und_Kleinpferde">'DüV-N-Grünland'!#REF!</definedName>
    <definedName name="Qualitätsgruppe" localSheetId="33">FrühKart!#REF!</definedName>
    <definedName name="Qualitätsgruppe" localSheetId="37">GrasKleeLuz!#REF!</definedName>
    <definedName name="Qualitätsgruppe" localSheetId="27">Hafer!#REF!</definedName>
    <definedName name="Qualitätsgruppe" localSheetId="32">Kart!#REF!</definedName>
    <definedName name="Qualitätsgruppe" localSheetId="30">'K-Mais'!#REF!</definedName>
    <definedName name="Qualitätsgruppe" localSheetId="36">Mähweide!#REF!</definedName>
    <definedName name="Qualitätsgruppe" localSheetId="29">Raps!#REF!</definedName>
    <definedName name="Qualitätsgruppe" localSheetId="23">Ro!#REF!</definedName>
    <definedName name="Qualitätsgruppe" localSheetId="31">'S-Mais'!#REF!</definedName>
    <definedName name="Qualitätsgruppe" localSheetId="26">'So-Ge'!#REF!</definedName>
    <definedName name="Qualitätsgruppe" localSheetId="22">Trit!#REF!</definedName>
    <definedName name="Qualitätsgruppe" localSheetId="35">Weide!#REF!</definedName>
    <definedName name="Qualitätsgruppe" localSheetId="25">'Wi-BrGe'!#REF!</definedName>
    <definedName name="Qualitätsgruppe" localSheetId="34">Wiese!#REF!</definedName>
    <definedName name="Qualitätsgruppe" localSheetId="24">'Wi-FuGe'!#REF!</definedName>
    <definedName name="Qualitätsgruppe" localSheetId="21">Wz!$I$14:$I$16</definedName>
    <definedName name="Qualitätsgruppe" localSheetId="28">ZRübe!#REF!</definedName>
    <definedName name="Qualitätsgruppe">#REF!</definedName>
    <definedName name="Reife" localSheetId="29">Raps!$J$11:$J$13</definedName>
    <definedName name="Reife" localSheetId="23">Ro!$J$22:$J$24</definedName>
    <definedName name="Reife" localSheetId="22">Trit!$J$22:$J$24</definedName>
    <definedName name="Reife" localSheetId="25">'Wi-BrGe'!$J$22:$J$24</definedName>
    <definedName name="Reife" localSheetId="24">'Wi-FuGe'!$J$22:$J$24</definedName>
    <definedName name="Reife" localSheetId="21">Wz!$I$29:$I$31</definedName>
    <definedName name="Reife">#REF!</definedName>
    <definedName name="Rindergülle" localSheetId="2">'DüV-N-Ackerbau (2)'!$Y$8</definedName>
    <definedName name="Rindergülle" localSheetId="3">'DüV-N-Ackerbau (3)'!$Y$8</definedName>
    <definedName name="Rindergülle" localSheetId="4">'DüV-N-Ackerbau (4)'!$Y$8</definedName>
    <definedName name="Rindergülle" localSheetId="5">'DüV-N-Ackerbau NbG'!$Y$8</definedName>
    <definedName name="Rindergülle">'DüV-N-Ackerbau (1)'!$Y$8</definedName>
    <definedName name="Sortenauswahl" localSheetId="1">#REF!</definedName>
    <definedName name="Sortenauswahl" localSheetId="2">#REF!</definedName>
    <definedName name="Sortenauswahl" localSheetId="3">#REF!</definedName>
    <definedName name="Sortenauswahl" localSheetId="4">#REF!</definedName>
    <definedName name="Sortenauswahl" localSheetId="5">#REF!</definedName>
    <definedName name="Sortenauswahl" localSheetId="10">#REF!</definedName>
    <definedName name="Sortenauswahl" localSheetId="11">#REF!</definedName>
    <definedName name="Sortenauswahl" localSheetId="8">#REF!</definedName>
    <definedName name="Sortenauswahl" localSheetId="9">#REF!</definedName>
    <definedName name="Sortenauswahl" localSheetId="6">#REF!</definedName>
    <definedName name="Sortenauswahl" localSheetId="7">#REF!</definedName>
    <definedName name="Sortenauswahl" localSheetId="33">#REF!</definedName>
    <definedName name="Sortenauswahl" localSheetId="37">#REF!</definedName>
    <definedName name="Sortenauswahl" localSheetId="27">#REF!</definedName>
    <definedName name="Sortenauswahl" localSheetId="32">Kart!#REF!</definedName>
    <definedName name="Sortenauswahl" localSheetId="30">#REF!</definedName>
    <definedName name="Sortenauswahl" localSheetId="36">#REF!</definedName>
    <definedName name="Sortenauswahl" localSheetId="12">#REF!</definedName>
    <definedName name="Sortenauswahl" localSheetId="13">#REF!</definedName>
    <definedName name="Sortenauswahl" localSheetId="20">#REF!</definedName>
    <definedName name="Sortenauswahl" localSheetId="29">#REF!</definedName>
    <definedName name="Sortenauswahl" localSheetId="23">#REF!</definedName>
    <definedName name="Sortenauswahl" localSheetId="31">#REF!</definedName>
    <definedName name="Sortenauswahl" localSheetId="26">#REF!</definedName>
    <definedName name="Sortenauswahl" localSheetId="22">#REF!</definedName>
    <definedName name="Sortenauswahl" localSheetId="35">#REF!</definedName>
    <definedName name="Sortenauswahl" localSheetId="25">#REF!</definedName>
    <definedName name="Sortenauswahl" localSheetId="34">#REF!</definedName>
    <definedName name="Sortenauswahl" localSheetId="24">#REF!</definedName>
    <definedName name="Sortenauswahl" localSheetId="21">#REF!</definedName>
    <definedName name="Sortenauswahl" localSheetId="28">#REF!</definedName>
    <definedName name="Sortenauswahl">#REF!</definedName>
    <definedName name="Standard_Rindergülle_7_5___TM">Düngemittel!$B$6:$B$64</definedName>
    <definedName name="Tierart">#REF!</definedName>
    <definedName name="Tierhaltungsform">'[1]Daten Tierhaltung'!$B$7:$B$108</definedName>
    <definedName name="Tierkategorien">'Daten Tierhaltung'!$B$7:$B$108</definedName>
    <definedName name="Vorfrucht" localSheetId="33">FrühKart!$G$8:$G$18</definedName>
    <definedName name="Vorfrucht" localSheetId="37">GrasKleeLuz!#REF!</definedName>
    <definedName name="Vorfrucht" localSheetId="27">Hafer!$G$8:$G$19</definedName>
    <definedName name="Vorfrucht" localSheetId="32">Kart!$G$8:$G$18</definedName>
    <definedName name="Vorfrucht" localSheetId="30">'K-Mais'!$G$6:$G$16</definedName>
    <definedName name="Vorfrucht" localSheetId="36">Mähweide!$P$11:$P$15</definedName>
    <definedName name="Vorfrucht" localSheetId="29">Raps!$G$8:$G$18</definedName>
    <definedName name="Vorfrucht" localSheetId="23">Ro!$G$8:$G$18</definedName>
    <definedName name="Vorfrucht" localSheetId="31">'S-Mais'!$G$8:$G$18</definedName>
    <definedName name="Vorfrucht" localSheetId="26">'So-Ge'!$G$8:$G$19</definedName>
    <definedName name="Vorfrucht" localSheetId="22">Trit!$G$8:$G$18</definedName>
    <definedName name="Vorfrucht" localSheetId="35">Weide!$P$10:$P$14</definedName>
    <definedName name="Vorfrucht" localSheetId="25">'Wi-BrGe'!$G$8:$G$18</definedName>
    <definedName name="Vorfrucht" localSheetId="34">Wiese!$R$10:$R$14</definedName>
    <definedName name="Vorfrucht" localSheetId="24">'Wi-FuGe'!$G$8:$G$18</definedName>
    <definedName name="Vorfrucht" localSheetId="21">Wz!$F$8:$F$18</definedName>
    <definedName name="Vorfrucht" localSheetId="28">ZRübe!$J$8:$J$18</definedName>
    <definedName name="Vorfrucht">#REF!</definedName>
    <definedName name="Weidetagebuch">#REF!</definedName>
    <definedName name="Witterung" localSheetId="29">Raps!$J$12:$J$13</definedName>
    <definedName name="Witterung" localSheetId="23">Ro!$J$23:$J$24</definedName>
    <definedName name="Witterung" localSheetId="22">Trit!$J$23:$J$24</definedName>
    <definedName name="Witterung" localSheetId="25">'Wi-BrGe'!$J$23:$J$24</definedName>
    <definedName name="Witterung" localSheetId="24">'Wi-FuGe'!$J$23:$J$24</definedName>
    <definedName name="Witterung" localSheetId="21">Wz!$I$30:$I$31</definedName>
    <definedName name="Witterung">#REF!</definedName>
    <definedName name="xy" localSheetId="9">'DüV-N-Grünland NbG'!$U$52:$Z$87</definedName>
    <definedName name="xy">'DüV-N-Grünland'!$U$52:$Z$87</definedName>
    <definedName name="Zwischenfrucht" localSheetId="33">FrühKart!$G$22:$G$30</definedName>
    <definedName name="Zwischenfrucht" localSheetId="37">GrasKleeLuz!$N$11:$N$14</definedName>
    <definedName name="Zwischenfrucht" localSheetId="27">Hafer!$G$22:$G$30</definedName>
    <definedName name="Zwischenfrucht" localSheetId="32">Kart!$G$22:$G$30</definedName>
    <definedName name="Zwischenfrucht" localSheetId="30">'K-Mais'!$G$20:$G$28</definedName>
    <definedName name="Zwischenfrucht" localSheetId="36">Mähweide!$P$19:$P$21</definedName>
    <definedName name="Zwischenfrucht" localSheetId="29">Raps!$G$23:$G$31</definedName>
    <definedName name="Zwischenfrucht" localSheetId="23">Ro!$G$23:$G$31</definedName>
    <definedName name="Zwischenfrucht" localSheetId="31">'S-Mais'!$G$23:$G$31</definedName>
    <definedName name="Zwischenfrucht" localSheetId="26">'So-Ge'!$G$22:$G$30</definedName>
    <definedName name="Zwischenfrucht" localSheetId="22">Trit!$G$23:$G$31</definedName>
    <definedName name="Zwischenfrucht" localSheetId="35">Weide!$P$18:$P$20</definedName>
    <definedName name="Zwischenfrucht" localSheetId="25">'Wi-BrGe'!$G$23:$G$31</definedName>
    <definedName name="Zwischenfrucht" localSheetId="34">Wiese!$R$17:$R$19</definedName>
    <definedName name="Zwischenfrucht" localSheetId="24">'Wi-FuGe'!$G$23:$G$31</definedName>
    <definedName name="Zwischenfrucht" localSheetId="21">Wz!$F$22:$F$30</definedName>
    <definedName name="Zwischenfrucht" localSheetId="28">ZRübe!$J$23:$J$31</definedName>
    <definedName name="Zwischenfrucht">#REF!</definedName>
  </definedNames>
  <calcPr calcId="191029"/>
</workbook>
</file>

<file path=xl/calcChain.xml><?xml version="1.0" encoding="utf-8"?>
<calcChain xmlns="http://schemas.openxmlformats.org/spreadsheetml/2006/main">
  <c r="BR8" i="67" l="1"/>
  <c r="C1" i="79"/>
  <c r="C1" i="78"/>
  <c r="CD61" i="80"/>
  <c r="CD60" i="80"/>
  <c r="CD59" i="80"/>
  <c r="CD58" i="80"/>
  <c r="CD57" i="80"/>
  <c r="CD56" i="80"/>
  <c r="CD55" i="80"/>
  <c r="CD54" i="80"/>
  <c r="CD53" i="80"/>
  <c r="CD52" i="80"/>
  <c r="CD51" i="80"/>
  <c r="CD50" i="80"/>
  <c r="CD49" i="80"/>
  <c r="CD48" i="80"/>
  <c r="CD47" i="80"/>
  <c r="CD46" i="80"/>
  <c r="CD45" i="80"/>
  <c r="CD44" i="80"/>
  <c r="CD43" i="80"/>
  <c r="CD42" i="80"/>
  <c r="CD41" i="80"/>
  <c r="CD40" i="80"/>
  <c r="CD39" i="80"/>
  <c r="CD38" i="80"/>
  <c r="CD37" i="80"/>
  <c r="CD36" i="80"/>
  <c r="CD35" i="80"/>
  <c r="CD34" i="80"/>
  <c r="CD33" i="80"/>
  <c r="CD32" i="80"/>
  <c r="B32" i="80"/>
  <c r="CD31" i="80"/>
  <c r="BU31" i="80"/>
  <c r="BT31" i="80"/>
  <c r="BE31" i="80"/>
  <c r="BD31" i="80"/>
  <c r="BC31" i="80"/>
  <c r="AX31" i="80"/>
  <c r="AW31" i="80"/>
  <c r="AV31" i="80"/>
  <c r="AQ31" i="80"/>
  <c r="AP31" i="80"/>
  <c r="AO31" i="80"/>
  <c r="AJ31" i="80"/>
  <c r="AI31" i="80"/>
  <c r="AH31" i="80"/>
  <c r="AC31" i="80"/>
  <c r="BK31" i="80" s="1"/>
  <c r="BQ31" i="80" s="1"/>
  <c r="AB31" i="80"/>
  <c r="AA31" i="80"/>
  <c r="BG31" i="80" s="1"/>
  <c r="BM31" i="80" s="1"/>
  <c r="W31" i="80"/>
  <c r="V31" i="80"/>
  <c r="S31" i="80"/>
  <c r="T31" i="80" s="1"/>
  <c r="O31" i="80"/>
  <c r="L31" i="80"/>
  <c r="K31" i="80"/>
  <c r="I31" i="80"/>
  <c r="E31" i="80"/>
  <c r="D31" i="80"/>
  <c r="G31" i="80" s="1"/>
  <c r="Q31" i="80" s="1"/>
  <c r="R31" i="80" s="1"/>
  <c r="CD30" i="80"/>
  <c r="BU30" i="80"/>
  <c r="BT30" i="80"/>
  <c r="BE30" i="80"/>
  <c r="BD30" i="80"/>
  <c r="BC30" i="80"/>
  <c r="AX30" i="80"/>
  <c r="AW30" i="80"/>
  <c r="AV30" i="80"/>
  <c r="AQ30" i="80"/>
  <c r="AP30" i="80"/>
  <c r="AO30" i="80"/>
  <c r="AJ30" i="80"/>
  <c r="BK30" i="80" s="1"/>
  <c r="BQ30" i="80" s="1"/>
  <c r="AI30" i="80"/>
  <c r="AH30" i="80"/>
  <c r="AC30" i="80"/>
  <c r="AB30" i="80"/>
  <c r="BI30" i="80" s="1"/>
  <c r="BO30" i="80" s="1"/>
  <c r="AA30" i="80"/>
  <c r="W30" i="80"/>
  <c r="V30" i="80"/>
  <c r="T30" i="80"/>
  <c r="S30" i="80"/>
  <c r="O30" i="80"/>
  <c r="L30" i="80"/>
  <c r="K30" i="80"/>
  <c r="I30" i="80"/>
  <c r="E30" i="80"/>
  <c r="D30" i="80"/>
  <c r="G30" i="80" s="1"/>
  <c r="Q30" i="80" s="1"/>
  <c r="R30" i="80" s="1"/>
  <c r="CD29" i="80"/>
  <c r="BU29" i="80"/>
  <c r="BT29" i="80"/>
  <c r="BE29" i="80"/>
  <c r="BD29" i="80"/>
  <c r="BC29" i="80"/>
  <c r="AX29" i="80"/>
  <c r="AW29" i="80"/>
  <c r="AV29" i="80"/>
  <c r="AQ29" i="80"/>
  <c r="AP29" i="80"/>
  <c r="AO29" i="80"/>
  <c r="AJ29" i="80"/>
  <c r="AI29" i="80"/>
  <c r="AH29" i="80"/>
  <c r="AC29" i="80"/>
  <c r="BK29" i="80" s="1"/>
  <c r="BQ29" i="80" s="1"/>
  <c r="AB29" i="80"/>
  <c r="AA29" i="80"/>
  <c r="BG29" i="80" s="1"/>
  <c r="BM29" i="80" s="1"/>
  <c r="W29" i="80"/>
  <c r="V29" i="80"/>
  <c r="S29" i="80"/>
  <c r="T29" i="80" s="1"/>
  <c r="O29" i="80"/>
  <c r="L29" i="80"/>
  <c r="K29" i="80"/>
  <c r="I29" i="80"/>
  <c r="E29" i="80"/>
  <c r="D29" i="80"/>
  <c r="G29" i="80" s="1"/>
  <c r="Q29" i="80" s="1"/>
  <c r="R29" i="80" s="1"/>
  <c r="CD28" i="80"/>
  <c r="BU28" i="80"/>
  <c r="BT28" i="80"/>
  <c r="BE28" i="80"/>
  <c r="BD28" i="80"/>
  <c r="BC28" i="80"/>
  <c r="AX28" i="80"/>
  <c r="AW28" i="80"/>
  <c r="AV28" i="80"/>
  <c r="AQ28" i="80"/>
  <c r="AP28" i="80"/>
  <c r="AO28" i="80"/>
  <c r="AJ28" i="80"/>
  <c r="BK28" i="80" s="1"/>
  <c r="BQ28" i="80" s="1"/>
  <c r="AI28" i="80"/>
  <c r="AH28" i="80"/>
  <c r="AC28" i="80"/>
  <c r="AB28" i="80"/>
  <c r="BI28" i="80" s="1"/>
  <c r="BO28" i="80" s="1"/>
  <c r="AA28" i="80"/>
  <c r="W28" i="80"/>
  <c r="V28" i="80"/>
  <c r="T28" i="80"/>
  <c r="S28" i="80"/>
  <c r="O28" i="80"/>
  <c r="L28" i="80"/>
  <c r="K28" i="80"/>
  <c r="I28" i="80"/>
  <c r="E28" i="80"/>
  <c r="D28" i="80"/>
  <c r="G28" i="80" s="1"/>
  <c r="Q28" i="80" s="1"/>
  <c r="R28" i="80" s="1"/>
  <c r="CD27" i="80"/>
  <c r="BU27" i="80"/>
  <c r="BT27" i="80"/>
  <c r="BE27" i="80"/>
  <c r="BD27" i="80"/>
  <c r="BC27" i="80"/>
  <c r="AX27" i="80"/>
  <c r="AW27" i="80"/>
  <c r="AV27" i="80"/>
  <c r="AQ27" i="80"/>
  <c r="AP27" i="80"/>
  <c r="AO27" i="80"/>
  <c r="AJ27" i="80"/>
  <c r="AI27" i="80"/>
  <c r="AH27" i="80"/>
  <c r="AC27" i="80"/>
  <c r="BK27" i="80" s="1"/>
  <c r="BQ27" i="80" s="1"/>
  <c r="AB27" i="80"/>
  <c r="AA27" i="80"/>
  <c r="BG27" i="80" s="1"/>
  <c r="BM27" i="80" s="1"/>
  <c r="W27" i="80"/>
  <c r="V27" i="80"/>
  <c r="S27" i="80"/>
  <c r="T27" i="80" s="1"/>
  <c r="O27" i="80"/>
  <c r="L27" i="80"/>
  <c r="K27" i="80"/>
  <c r="I27" i="80"/>
  <c r="E27" i="80"/>
  <c r="D27" i="80"/>
  <c r="G27" i="80" s="1"/>
  <c r="Q27" i="80" s="1"/>
  <c r="R27" i="80" s="1"/>
  <c r="CD26" i="80"/>
  <c r="BU26" i="80"/>
  <c r="BT26" i="80"/>
  <c r="BE26" i="80"/>
  <c r="BD26" i="80"/>
  <c r="BC26" i="80"/>
  <c r="AX26" i="80"/>
  <c r="AW26" i="80"/>
  <c r="AV26" i="80"/>
  <c r="AQ26" i="80"/>
  <c r="AP26" i="80"/>
  <c r="AO26" i="80"/>
  <c r="AJ26" i="80"/>
  <c r="BK26" i="80" s="1"/>
  <c r="BQ26" i="80" s="1"/>
  <c r="AI26" i="80"/>
  <c r="AH26" i="80"/>
  <c r="AC26" i="80"/>
  <c r="AB26" i="80"/>
  <c r="BI26" i="80" s="1"/>
  <c r="BO26" i="80" s="1"/>
  <c r="AA26" i="80"/>
  <c r="W26" i="80"/>
  <c r="V26" i="80"/>
  <c r="T26" i="80"/>
  <c r="S26" i="80"/>
  <c r="O26" i="80"/>
  <c r="L26" i="80"/>
  <c r="K26" i="80"/>
  <c r="I26" i="80"/>
  <c r="E26" i="80"/>
  <c r="D26" i="80"/>
  <c r="G26" i="80" s="1"/>
  <c r="Q26" i="80" s="1"/>
  <c r="R26" i="80" s="1"/>
  <c r="CD25" i="80"/>
  <c r="BU25" i="80"/>
  <c r="BT25" i="80"/>
  <c r="BE25" i="80"/>
  <c r="BD25" i="80"/>
  <c r="BC25" i="80"/>
  <c r="AX25" i="80"/>
  <c r="AW25" i="80"/>
  <c r="AV25" i="80"/>
  <c r="AQ25" i="80"/>
  <c r="AP25" i="80"/>
  <c r="AO25" i="80"/>
  <c r="AJ25" i="80"/>
  <c r="AI25" i="80"/>
  <c r="AH25" i="80"/>
  <c r="AC25" i="80"/>
  <c r="BK25" i="80" s="1"/>
  <c r="BQ25" i="80" s="1"/>
  <c r="AB25" i="80"/>
  <c r="AA25" i="80"/>
  <c r="BG25" i="80" s="1"/>
  <c r="BM25" i="80" s="1"/>
  <c r="W25" i="80"/>
  <c r="V25" i="80"/>
  <c r="S25" i="80"/>
  <c r="T25" i="80" s="1"/>
  <c r="O25" i="80"/>
  <c r="L25" i="80"/>
  <c r="K25" i="80"/>
  <c r="I25" i="80"/>
  <c r="E25" i="80"/>
  <c r="D25" i="80"/>
  <c r="G25" i="80" s="1"/>
  <c r="Q25" i="80" s="1"/>
  <c r="R25" i="80" s="1"/>
  <c r="CD24" i="80"/>
  <c r="BU24" i="80"/>
  <c r="BT24" i="80"/>
  <c r="BE24" i="80"/>
  <c r="BD24" i="80"/>
  <c r="BC24" i="80"/>
  <c r="AX24" i="80"/>
  <c r="AW24" i="80"/>
  <c r="AV24" i="80"/>
  <c r="AQ24" i="80"/>
  <c r="AP24" i="80"/>
  <c r="AO24" i="80"/>
  <c r="AJ24" i="80"/>
  <c r="BK24" i="80" s="1"/>
  <c r="BQ24" i="80" s="1"/>
  <c r="AI24" i="80"/>
  <c r="AH24" i="80"/>
  <c r="AC24" i="80"/>
  <c r="AB24" i="80"/>
  <c r="BI24" i="80" s="1"/>
  <c r="BO24" i="80" s="1"/>
  <c r="AA24" i="80"/>
  <c r="W24" i="80"/>
  <c r="V24" i="80"/>
  <c r="T24" i="80"/>
  <c r="S24" i="80"/>
  <c r="O24" i="80"/>
  <c r="L24" i="80"/>
  <c r="K24" i="80"/>
  <c r="I24" i="80"/>
  <c r="E24" i="80"/>
  <c r="D24" i="80"/>
  <c r="G24" i="80" s="1"/>
  <c r="Q24" i="80" s="1"/>
  <c r="R24" i="80" s="1"/>
  <c r="CD23" i="80"/>
  <c r="BU23" i="80"/>
  <c r="BT23" i="80"/>
  <c r="BE23" i="80"/>
  <c r="BD23" i="80"/>
  <c r="BC23" i="80"/>
  <c r="AX23" i="80"/>
  <c r="AW23" i="80"/>
  <c r="AV23" i="80"/>
  <c r="AQ23" i="80"/>
  <c r="AP23" i="80"/>
  <c r="AO23" i="80"/>
  <c r="AJ23" i="80"/>
  <c r="AI23" i="80"/>
  <c r="AH23" i="80"/>
  <c r="AC23" i="80"/>
  <c r="BK23" i="80" s="1"/>
  <c r="BQ23" i="80" s="1"/>
  <c r="AB23" i="80"/>
  <c r="AA23" i="80"/>
  <c r="W23" i="80"/>
  <c r="V23" i="80"/>
  <c r="S23" i="80"/>
  <c r="T23" i="80" s="1"/>
  <c r="O23" i="80"/>
  <c r="L23" i="80"/>
  <c r="K23" i="80"/>
  <c r="I23" i="80"/>
  <c r="E23" i="80"/>
  <c r="D23" i="80"/>
  <c r="G23" i="80" s="1"/>
  <c r="Q23" i="80" s="1"/>
  <c r="R23" i="80" s="1"/>
  <c r="CD22" i="80"/>
  <c r="BU22" i="80"/>
  <c r="BT22" i="80"/>
  <c r="BE22" i="80"/>
  <c r="BD22" i="80"/>
  <c r="BC22" i="80"/>
  <c r="AX22" i="80"/>
  <c r="AW22" i="80"/>
  <c r="AV22" i="80"/>
  <c r="AQ22" i="80"/>
  <c r="AP22" i="80"/>
  <c r="AO22" i="80"/>
  <c r="AJ22" i="80"/>
  <c r="BK22" i="80" s="1"/>
  <c r="BQ22" i="80" s="1"/>
  <c r="AI22" i="80"/>
  <c r="AH22" i="80"/>
  <c r="AC22" i="80"/>
  <c r="AB22" i="80"/>
  <c r="BI22" i="80" s="1"/>
  <c r="BO22" i="80" s="1"/>
  <c r="AA22" i="80"/>
  <c r="W22" i="80"/>
  <c r="V22" i="80"/>
  <c r="T22" i="80"/>
  <c r="S22" i="80"/>
  <c r="O22" i="80"/>
  <c r="L22" i="80"/>
  <c r="K22" i="80"/>
  <c r="I22" i="80"/>
  <c r="E22" i="80"/>
  <c r="D22" i="80"/>
  <c r="G22" i="80" s="1"/>
  <c r="Q22" i="80" s="1"/>
  <c r="R22" i="80" s="1"/>
  <c r="CD21" i="80"/>
  <c r="BU21" i="80"/>
  <c r="BT21" i="80"/>
  <c r="BE21" i="80"/>
  <c r="BD21" i="80"/>
  <c r="BC21" i="80"/>
  <c r="AX21" i="80"/>
  <c r="AW21" i="80"/>
  <c r="AV21" i="80"/>
  <c r="AQ21" i="80"/>
  <c r="AP21" i="80"/>
  <c r="AO21" i="80"/>
  <c r="AJ21" i="80"/>
  <c r="AI21" i="80"/>
  <c r="AH21" i="80"/>
  <c r="AC21" i="80"/>
  <c r="BK21" i="80" s="1"/>
  <c r="BQ21" i="80" s="1"/>
  <c r="AB21" i="80"/>
  <c r="AA21" i="80"/>
  <c r="W21" i="80"/>
  <c r="V21" i="80"/>
  <c r="S21" i="80"/>
  <c r="T21" i="80" s="1"/>
  <c r="O21" i="80"/>
  <c r="L21" i="80"/>
  <c r="K21" i="80"/>
  <c r="I21" i="80"/>
  <c r="E21" i="80"/>
  <c r="D21" i="80"/>
  <c r="G21" i="80" s="1"/>
  <c r="Q21" i="80" s="1"/>
  <c r="R21" i="80" s="1"/>
  <c r="CD20" i="80"/>
  <c r="BU20" i="80"/>
  <c r="BT20" i="80"/>
  <c r="BE20" i="80"/>
  <c r="BD20" i="80"/>
  <c r="BC20" i="80"/>
  <c r="AX20" i="80"/>
  <c r="AW20" i="80"/>
  <c r="AV20" i="80"/>
  <c r="AQ20" i="80"/>
  <c r="AP20" i="80"/>
  <c r="AO20" i="80"/>
  <c r="AJ20" i="80"/>
  <c r="AI20" i="80"/>
  <c r="AH20" i="80"/>
  <c r="AC20" i="80"/>
  <c r="BK20" i="80" s="1"/>
  <c r="BQ20" i="80" s="1"/>
  <c r="AB20" i="80"/>
  <c r="AA20" i="80"/>
  <c r="BG20" i="80" s="1"/>
  <c r="BM20" i="80" s="1"/>
  <c r="W20" i="80"/>
  <c r="V20" i="80"/>
  <c r="S20" i="80"/>
  <c r="T20" i="80" s="1"/>
  <c r="O20" i="80"/>
  <c r="L20" i="80"/>
  <c r="K20" i="80"/>
  <c r="I20" i="80"/>
  <c r="E20" i="80"/>
  <c r="D20" i="80"/>
  <c r="G20" i="80" s="1"/>
  <c r="Q20" i="80" s="1"/>
  <c r="R20" i="80" s="1"/>
  <c r="CD19" i="80"/>
  <c r="BU19" i="80"/>
  <c r="BT19" i="80"/>
  <c r="BE19" i="80"/>
  <c r="BD19" i="80"/>
  <c r="BC19" i="80"/>
  <c r="AX19" i="80"/>
  <c r="AW19" i="80"/>
  <c r="AV19" i="80"/>
  <c r="AQ19" i="80"/>
  <c r="AP19" i="80"/>
  <c r="AO19" i="80"/>
  <c r="AJ19" i="80"/>
  <c r="BK19" i="80" s="1"/>
  <c r="BQ19" i="80" s="1"/>
  <c r="AI19" i="80"/>
  <c r="AH19" i="80"/>
  <c r="AC19" i="80"/>
  <c r="AB19" i="80"/>
  <c r="BI19" i="80" s="1"/>
  <c r="BO19" i="80" s="1"/>
  <c r="AA19" i="80"/>
  <c r="W19" i="80"/>
  <c r="V19" i="80"/>
  <c r="T19" i="80"/>
  <c r="S19" i="80"/>
  <c r="O19" i="80"/>
  <c r="L19" i="80"/>
  <c r="K19" i="80"/>
  <c r="I19" i="80"/>
  <c r="E19" i="80"/>
  <c r="D19" i="80"/>
  <c r="G19" i="80" s="1"/>
  <c r="Q19" i="80" s="1"/>
  <c r="R19" i="80" s="1"/>
  <c r="CD18" i="80"/>
  <c r="BU18" i="80"/>
  <c r="BT18" i="80"/>
  <c r="BE18" i="80"/>
  <c r="BD18" i="80"/>
  <c r="BC18" i="80"/>
  <c r="AX18" i="80"/>
  <c r="AW18" i="80"/>
  <c r="AV18" i="80"/>
  <c r="AQ18" i="80"/>
  <c r="AP18" i="80"/>
  <c r="AO18" i="80"/>
  <c r="AJ18" i="80"/>
  <c r="AI18" i="80"/>
  <c r="AH18" i="80"/>
  <c r="AC18" i="80"/>
  <c r="BK18" i="80" s="1"/>
  <c r="BQ18" i="80" s="1"/>
  <c r="AB18" i="80"/>
  <c r="AA18" i="80"/>
  <c r="BG18" i="80" s="1"/>
  <c r="BM18" i="80" s="1"/>
  <c r="W18" i="80"/>
  <c r="V18" i="80"/>
  <c r="S18" i="80"/>
  <c r="T18" i="80" s="1"/>
  <c r="O18" i="80"/>
  <c r="L18" i="80"/>
  <c r="K18" i="80"/>
  <c r="I18" i="80"/>
  <c r="E18" i="80"/>
  <c r="D18" i="80"/>
  <c r="G18" i="80" s="1"/>
  <c r="Q18" i="80" s="1"/>
  <c r="R18" i="80" s="1"/>
  <c r="CD17" i="80"/>
  <c r="BU17" i="80"/>
  <c r="BT17" i="80"/>
  <c r="BE17" i="80"/>
  <c r="BD17" i="80"/>
  <c r="BC17" i="80"/>
  <c r="AX17" i="80"/>
  <c r="AW17" i="80"/>
  <c r="AV17" i="80"/>
  <c r="AQ17" i="80"/>
  <c r="AP17" i="80"/>
  <c r="AO17" i="80"/>
  <c r="AJ17" i="80"/>
  <c r="BK17" i="80" s="1"/>
  <c r="BQ17" i="80" s="1"/>
  <c r="AI17" i="80"/>
  <c r="AH17" i="80"/>
  <c r="AC17" i="80"/>
  <c r="AB17" i="80"/>
  <c r="BI17" i="80" s="1"/>
  <c r="BO17" i="80" s="1"/>
  <c r="AA17" i="80"/>
  <c r="W17" i="80"/>
  <c r="V17" i="80"/>
  <c r="T17" i="80"/>
  <c r="S17" i="80"/>
  <c r="O17" i="80"/>
  <c r="L17" i="80"/>
  <c r="K17" i="80"/>
  <c r="I17" i="80"/>
  <c r="E17" i="80"/>
  <c r="D17" i="80"/>
  <c r="G17" i="80" s="1"/>
  <c r="Q17" i="80" s="1"/>
  <c r="R17" i="80" s="1"/>
  <c r="CD16" i="80"/>
  <c r="BU16" i="80"/>
  <c r="BT16" i="80"/>
  <c r="BE16" i="80"/>
  <c r="BD16" i="80"/>
  <c r="BC16" i="80"/>
  <c r="AX16" i="80"/>
  <c r="AW16" i="80"/>
  <c r="AV16" i="80"/>
  <c r="AQ16" i="80"/>
  <c r="AP16" i="80"/>
  <c r="AO16" i="80"/>
  <c r="AJ16" i="80"/>
  <c r="AI16" i="80"/>
  <c r="AH16" i="80"/>
  <c r="AC16" i="80"/>
  <c r="BK16" i="80" s="1"/>
  <c r="BQ16" i="80" s="1"/>
  <c r="AB16" i="80"/>
  <c r="AA16" i="80"/>
  <c r="BG16" i="80" s="1"/>
  <c r="BM16" i="80" s="1"/>
  <c r="W16" i="80"/>
  <c r="V16" i="80"/>
  <c r="S16" i="80"/>
  <c r="T16" i="80" s="1"/>
  <c r="O16" i="80"/>
  <c r="L16" i="80"/>
  <c r="K16" i="80"/>
  <c r="I16" i="80"/>
  <c r="E16" i="80"/>
  <c r="D16" i="80"/>
  <c r="G16" i="80" s="1"/>
  <c r="Q16" i="80" s="1"/>
  <c r="R16" i="80" s="1"/>
  <c r="CD15" i="80"/>
  <c r="BU15" i="80"/>
  <c r="BT15" i="80"/>
  <c r="BE15" i="80"/>
  <c r="BD15" i="80"/>
  <c r="BC15" i="80"/>
  <c r="AX15" i="80"/>
  <c r="AW15" i="80"/>
  <c r="AV15" i="80"/>
  <c r="AQ15" i="80"/>
  <c r="AP15" i="80"/>
  <c r="AO15" i="80"/>
  <c r="AJ15" i="80"/>
  <c r="BK15" i="80" s="1"/>
  <c r="BQ15" i="80" s="1"/>
  <c r="AI15" i="80"/>
  <c r="AH15" i="80"/>
  <c r="AC15" i="80"/>
  <c r="AB15" i="80"/>
  <c r="BI15" i="80" s="1"/>
  <c r="BO15" i="80" s="1"/>
  <c r="AA15" i="80"/>
  <c r="W15" i="80"/>
  <c r="V15" i="80"/>
  <c r="T15" i="80"/>
  <c r="S15" i="80"/>
  <c r="O15" i="80"/>
  <c r="L15" i="80"/>
  <c r="K15" i="80"/>
  <c r="I15" i="80"/>
  <c r="E15" i="80"/>
  <c r="D15" i="80"/>
  <c r="G15" i="80" s="1"/>
  <c r="Q15" i="80" s="1"/>
  <c r="R15" i="80" s="1"/>
  <c r="CD14" i="80"/>
  <c r="BU14" i="80"/>
  <c r="BT14" i="80"/>
  <c r="BE14" i="80"/>
  <c r="BD14" i="80"/>
  <c r="BC14" i="80"/>
  <c r="AX14" i="80"/>
  <c r="AW14" i="80"/>
  <c r="AV14" i="80"/>
  <c r="AQ14" i="80"/>
  <c r="AP14" i="80"/>
  <c r="AO14" i="80"/>
  <c r="AJ14" i="80"/>
  <c r="AI14" i="80"/>
  <c r="AH14" i="80"/>
  <c r="AC14" i="80"/>
  <c r="BK14" i="80" s="1"/>
  <c r="BQ14" i="80" s="1"/>
  <c r="AB14" i="80"/>
  <c r="AA14" i="80"/>
  <c r="BG14" i="80" s="1"/>
  <c r="BM14" i="80" s="1"/>
  <c r="W14" i="80"/>
  <c r="V14" i="80"/>
  <c r="S14" i="80"/>
  <c r="T14" i="80" s="1"/>
  <c r="O14" i="80"/>
  <c r="L14" i="80"/>
  <c r="K14" i="80"/>
  <c r="I14" i="80"/>
  <c r="E14" i="80"/>
  <c r="D14" i="80"/>
  <c r="G14" i="80" s="1"/>
  <c r="Q14" i="80" s="1"/>
  <c r="R14" i="80" s="1"/>
  <c r="CD13" i="80"/>
  <c r="BU13" i="80"/>
  <c r="BT13" i="80"/>
  <c r="BE13" i="80"/>
  <c r="BD13" i="80"/>
  <c r="BC13" i="80"/>
  <c r="AX13" i="80"/>
  <c r="AW13" i="80"/>
  <c r="AV13" i="80"/>
  <c r="AQ13" i="80"/>
  <c r="AP13" i="80"/>
  <c r="AO13" i="80"/>
  <c r="AJ13" i="80"/>
  <c r="BK13" i="80" s="1"/>
  <c r="BQ13" i="80" s="1"/>
  <c r="AI13" i="80"/>
  <c r="AH13" i="80"/>
  <c r="AC13" i="80"/>
  <c r="AB13" i="80"/>
  <c r="BI13" i="80" s="1"/>
  <c r="BO13" i="80" s="1"/>
  <c r="AA13" i="80"/>
  <c r="W13" i="80"/>
  <c r="V13" i="80"/>
  <c r="T13" i="80"/>
  <c r="S13" i="80"/>
  <c r="O13" i="80"/>
  <c r="L13" i="80"/>
  <c r="K13" i="80"/>
  <c r="I13" i="80"/>
  <c r="E13" i="80"/>
  <c r="D13" i="80"/>
  <c r="G13" i="80" s="1"/>
  <c r="Q13" i="80" s="1"/>
  <c r="R13" i="80" s="1"/>
  <c r="CD12" i="80"/>
  <c r="BU12" i="80"/>
  <c r="BT12" i="80"/>
  <c r="BE12" i="80"/>
  <c r="BD12" i="80"/>
  <c r="BC12" i="80"/>
  <c r="AX12" i="80"/>
  <c r="AW12" i="80"/>
  <c r="AV12" i="80"/>
  <c r="AQ12" i="80"/>
  <c r="AP12" i="80"/>
  <c r="AO12" i="80"/>
  <c r="AJ12" i="80"/>
  <c r="AI12" i="80"/>
  <c r="AH12" i="80"/>
  <c r="AC12" i="80"/>
  <c r="BK12" i="80" s="1"/>
  <c r="BQ12" i="80" s="1"/>
  <c r="AB12" i="80"/>
  <c r="AA12" i="80"/>
  <c r="BG12" i="80" s="1"/>
  <c r="BM12" i="80" s="1"/>
  <c r="W12" i="80"/>
  <c r="V12" i="80"/>
  <c r="S12" i="80"/>
  <c r="T12" i="80" s="1"/>
  <c r="O12" i="80"/>
  <c r="L12" i="80"/>
  <c r="K12" i="80"/>
  <c r="I12" i="80"/>
  <c r="E12" i="80"/>
  <c r="D12" i="80"/>
  <c r="G12" i="80" s="1"/>
  <c r="Q12" i="80" s="1"/>
  <c r="R12" i="80" s="1"/>
  <c r="CD11" i="80"/>
  <c r="BU11" i="80"/>
  <c r="BT11" i="80"/>
  <c r="BE11" i="80"/>
  <c r="BD11" i="80"/>
  <c r="BC11" i="80"/>
  <c r="AX11" i="80"/>
  <c r="AW11" i="80"/>
  <c r="AV11" i="80"/>
  <c r="AQ11" i="80"/>
  <c r="AP11" i="80"/>
  <c r="AO11" i="80"/>
  <c r="AJ11" i="80"/>
  <c r="BK11" i="80" s="1"/>
  <c r="BQ11" i="80" s="1"/>
  <c r="AI11" i="80"/>
  <c r="AH11" i="80"/>
  <c r="AC11" i="80"/>
  <c r="AB11" i="80"/>
  <c r="BI11" i="80" s="1"/>
  <c r="BO11" i="80" s="1"/>
  <c r="AA11" i="80"/>
  <c r="W11" i="80"/>
  <c r="V11" i="80"/>
  <c r="T11" i="80"/>
  <c r="S11" i="80"/>
  <c r="O11" i="80"/>
  <c r="L11" i="80"/>
  <c r="K11" i="80"/>
  <c r="I11" i="80"/>
  <c r="E11" i="80"/>
  <c r="D11" i="80"/>
  <c r="G11" i="80" s="1"/>
  <c r="Q11" i="80" s="1"/>
  <c r="R11" i="80" s="1"/>
  <c r="CD10" i="80"/>
  <c r="BU10" i="80"/>
  <c r="BT10" i="80"/>
  <c r="BE10" i="80"/>
  <c r="BD10" i="80"/>
  <c r="BC10" i="80"/>
  <c r="AX10" i="80"/>
  <c r="AW10" i="80"/>
  <c r="AV10" i="80"/>
  <c r="AQ10" i="80"/>
  <c r="AP10" i="80"/>
  <c r="AO10" i="80"/>
  <c r="AJ10" i="80"/>
  <c r="AI10" i="80"/>
  <c r="AH10" i="80"/>
  <c r="AC10" i="80"/>
  <c r="BK10" i="80" s="1"/>
  <c r="BQ10" i="80" s="1"/>
  <c r="AB10" i="80"/>
  <c r="AA10" i="80"/>
  <c r="BG10" i="80" s="1"/>
  <c r="BM10" i="80" s="1"/>
  <c r="W10" i="80"/>
  <c r="V10" i="80"/>
  <c r="S10" i="80"/>
  <c r="T10" i="80" s="1"/>
  <c r="O10" i="80"/>
  <c r="L10" i="80"/>
  <c r="K10" i="80"/>
  <c r="I10" i="80"/>
  <c r="E10" i="80"/>
  <c r="D10" i="80"/>
  <c r="G10" i="80" s="1"/>
  <c r="Q10" i="80" s="1"/>
  <c r="R10" i="80" s="1"/>
  <c r="CD9" i="80"/>
  <c r="BU9" i="80"/>
  <c r="BT9" i="80"/>
  <c r="BE9" i="80"/>
  <c r="BD9" i="80"/>
  <c r="BC9" i="80"/>
  <c r="AX9" i="80"/>
  <c r="AW9" i="80"/>
  <c r="AV9" i="80"/>
  <c r="AQ9" i="80"/>
  <c r="AP9" i="80"/>
  <c r="AO9" i="80"/>
  <c r="AJ9" i="80"/>
  <c r="BK9" i="80" s="1"/>
  <c r="BQ9" i="80" s="1"/>
  <c r="AI9" i="80"/>
  <c r="AH9" i="80"/>
  <c r="AC9" i="80"/>
  <c r="AB9" i="80"/>
  <c r="BI9" i="80" s="1"/>
  <c r="BO9" i="80" s="1"/>
  <c r="AA9" i="80"/>
  <c r="W9" i="80"/>
  <c r="V9" i="80"/>
  <c r="T9" i="80"/>
  <c r="S9" i="80"/>
  <c r="O9" i="80"/>
  <c r="L9" i="80"/>
  <c r="K9" i="80"/>
  <c r="I9" i="80"/>
  <c r="E9" i="80"/>
  <c r="D9" i="80"/>
  <c r="G9" i="80" s="1"/>
  <c r="Q9" i="80" s="1"/>
  <c r="R9" i="80" s="1"/>
  <c r="CD8" i="80"/>
  <c r="BU8" i="80"/>
  <c r="BT8" i="80"/>
  <c r="BE8" i="80"/>
  <c r="BD8" i="80"/>
  <c r="BC8" i="80"/>
  <c r="AX8" i="80"/>
  <c r="AW8" i="80"/>
  <c r="AV8" i="80"/>
  <c r="AQ8" i="80"/>
  <c r="AP8" i="80"/>
  <c r="AO8" i="80"/>
  <c r="AJ8" i="80"/>
  <c r="AI8" i="80"/>
  <c r="AH8" i="80"/>
  <c r="AC8" i="80"/>
  <c r="BK8" i="80" s="1"/>
  <c r="BQ8" i="80" s="1"/>
  <c r="AB8" i="80"/>
  <c r="AA8" i="80"/>
  <c r="BG8" i="80" s="1"/>
  <c r="BM8" i="80" s="1"/>
  <c r="W8" i="80"/>
  <c r="V8" i="80"/>
  <c r="S8" i="80"/>
  <c r="T8" i="80" s="1"/>
  <c r="O8" i="80"/>
  <c r="L8" i="80"/>
  <c r="K8" i="80"/>
  <c r="I8" i="80"/>
  <c r="E8" i="80"/>
  <c r="D8" i="80"/>
  <c r="G8" i="80" s="1"/>
  <c r="Q8" i="80" s="1"/>
  <c r="R8" i="80" s="1"/>
  <c r="R32" i="80" s="1"/>
  <c r="CD7" i="80"/>
  <c r="CD6" i="80"/>
  <c r="CD5" i="80"/>
  <c r="CD4" i="80"/>
  <c r="CD3" i="80"/>
  <c r="C3" i="80"/>
  <c r="C2" i="80"/>
  <c r="C1" i="80"/>
  <c r="CD61" i="79"/>
  <c r="CD60" i="79"/>
  <c r="CD59" i="79"/>
  <c r="CD58" i="79"/>
  <c r="CD57" i="79"/>
  <c r="CD56" i="79"/>
  <c r="CD55" i="79"/>
  <c r="CD54" i="79"/>
  <c r="CD53" i="79"/>
  <c r="CD52" i="79"/>
  <c r="CD51" i="79"/>
  <c r="CD50" i="79"/>
  <c r="CD49" i="79"/>
  <c r="CD48" i="79"/>
  <c r="CD47" i="79"/>
  <c r="CD46" i="79"/>
  <c r="CD45" i="79"/>
  <c r="CD44" i="79"/>
  <c r="CD43" i="79"/>
  <c r="CD42" i="79"/>
  <c r="CD41" i="79"/>
  <c r="CD40" i="79"/>
  <c r="CD39" i="79"/>
  <c r="CD38" i="79"/>
  <c r="CD37" i="79"/>
  <c r="CD36" i="79"/>
  <c r="CD35" i="79"/>
  <c r="CD34" i="79"/>
  <c r="CD33" i="79"/>
  <c r="CD32" i="79"/>
  <c r="B32" i="79"/>
  <c r="CD31" i="79"/>
  <c r="BU31" i="79"/>
  <c r="BT31" i="79"/>
  <c r="BE31" i="79"/>
  <c r="BD31" i="79"/>
  <c r="BC31" i="79"/>
  <c r="AX31" i="79"/>
  <c r="AW31" i="79"/>
  <c r="AV31" i="79"/>
  <c r="AQ31" i="79"/>
  <c r="AP31" i="79"/>
  <c r="AO31" i="79"/>
  <c r="AJ31" i="79"/>
  <c r="AI31" i="79"/>
  <c r="AH31" i="79"/>
  <c r="AC31" i="79"/>
  <c r="BK31" i="79" s="1"/>
  <c r="BQ31" i="79" s="1"/>
  <c r="AB31" i="79"/>
  <c r="AA31" i="79"/>
  <c r="BG31" i="79" s="1"/>
  <c r="BM31" i="79" s="1"/>
  <c r="W31" i="79"/>
  <c r="V31" i="79"/>
  <c r="S31" i="79"/>
  <c r="T31" i="79" s="1"/>
  <c r="O31" i="79"/>
  <c r="L31" i="79"/>
  <c r="K31" i="79"/>
  <c r="I31" i="79"/>
  <c r="E31" i="79"/>
  <c r="D31" i="79"/>
  <c r="G31" i="79" s="1"/>
  <c r="Q31" i="79" s="1"/>
  <c r="R31" i="79" s="1"/>
  <c r="CD30" i="79"/>
  <c r="BU30" i="79"/>
  <c r="BT30" i="79"/>
  <c r="BE30" i="79"/>
  <c r="BD30" i="79"/>
  <c r="BC30" i="79"/>
  <c r="AX30" i="79"/>
  <c r="AW30" i="79"/>
  <c r="AV30" i="79"/>
  <c r="AQ30" i="79"/>
  <c r="AP30" i="79"/>
  <c r="AO30" i="79"/>
  <c r="AJ30" i="79"/>
  <c r="BK30" i="79" s="1"/>
  <c r="BQ30" i="79" s="1"/>
  <c r="AI30" i="79"/>
  <c r="AH30" i="79"/>
  <c r="AC30" i="79"/>
  <c r="AB30" i="79"/>
  <c r="BI30" i="79" s="1"/>
  <c r="BO30" i="79" s="1"/>
  <c r="AA30" i="79"/>
  <c r="W30" i="79"/>
  <c r="V30" i="79"/>
  <c r="T30" i="79"/>
  <c r="S30" i="79"/>
  <c r="O30" i="79"/>
  <c r="L30" i="79"/>
  <c r="K30" i="79"/>
  <c r="I30" i="79"/>
  <c r="E30" i="79"/>
  <c r="D30" i="79"/>
  <c r="G30" i="79" s="1"/>
  <c r="Q30" i="79" s="1"/>
  <c r="R30" i="79" s="1"/>
  <c r="CD29" i="79"/>
  <c r="BU29" i="79"/>
  <c r="BT29" i="79"/>
  <c r="BE29" i="79"/>
  <c r="BD29" i="79"/>
  <c r="BC29" i="79"/>
  <c r="AX29" i="79"/>
  <c r="AW29" i="79"/>
  <c r="AV29" i="79"/>
  <c r="AQ29" i="79"/>
  <c r="AP29" i="79"/>
  <c r="AO29" i="79"/>
  <c r="AJ29" i="79"/>
  <c r="AI29" i="79"/>
  <c r="AH29" i="79"/>
  <c r="AC29" i="79"/>
  <c r="BK29" i="79" s="1"/>
  <c r="BQ29" i="79" s="1"/>
  <c r="AB29" i="79"/>
  <c r="AA29" i="79"/>
  <c r="BG29" i="79" s="1"/>
  <c r="BM29" i="79" s="1"/>
  <c r="W29" i="79"/>
  <c r="V29" i="79"/>
  <c r="S29" i="79"/>
  <c r="T29" i="79" s="1"/>
  <c r="O29" i="79"/>
  <c r="L29" i="79"/>
  <c r="K29" i="79"/>
  <c r="I29" i="79"/>
  <c r="E29" i="79"/>
  <c r="D29" i="79"/>
  <c r="G29" i="79" s="1"/>
  <c r="Q29" i="79" s="1"/>
  <c r="R29" i="79" s="1"/>
  <c r="CD28" i="79"/>
  <c r="BU28" i="79"/>
  <c r="BT28" i="79"/>
  <c r="BE28" i="79"/>
  <c r="BD28" i="79"/>
  <c r="BC28" i="79"/>
  <c r="AX28" i="79"/>
  <c r="AW28" i="79"/>
  <c r="AV28" i="79"/>
  <c r="AQ28" i="79"/>
  <c r="AP28" i="79"/>
  <c r="AO28" i="79"/>
  <c r="AJ28" i="79"/>
  <c r="BK28" i="79" s="1"/>
  <c r="BQ28" i="79" s="1"/>
  <c r="AI28" i="79"/>
  <c r="AH28" i="79"/>
  <c r="AC28" i="79"/>
  <c r="AB28" i="79"/>
  <c r="BI28" i="79" s="1"/>
  <c r="BO28" i="79" s="1"/>
  <c r="AA28" i="79"/>
  <c r="W28" i="79"/>
  <c r="V28" i="79"/>
  <c r="T28" i="79"/>
  <c r="S28" i="79"/>
  <c r="O28" i="79"/>
  <c r="L28" i="79"/>
  <c r="K28" i="79"/>
  <c r="I28" i="79"/>
  <c r="E28" i="79"/>
  <c r="D28" i="79"/>
  <c r="G28" i="79" s="1"/>
  <c r="Q28" i="79" s="1"/>
  <c r="R28" i="79" s="1"/>
  <c r="CD27" i="79"/>
  <c r="BU27" i="79"/>
  <c r="BT27" i="79"/>
  <c r="BE27" i="79"/>
  <c r="BD27" i="79"/>
  <c r="BC27" i="79"/>
  <c r="AX27" i="79"/>
  <c r="AW27" i="79"/>
  <c r="AV27" i="79"/>
  <c r="AQ27" i="79"/>
  <c r="AP27" i="79"/>
  <c r="AO27" i="79"/>
  <c r="AJ27" i="79"/>
  <c r="AI27" i="79"/>
  <c r="AH27" i="79"/>
  <c r="AC27" i="79"/>
  <c r="BK27" i="79" s="1"/>
  <c r="BQ27" i="79" s="1"/>
  <c r="AB27" i="79"/>
  <c r="AA27" i="79"/>
  <c r="BG27" i="79" s="1"/>
  <c r="BM27" i="79" s="1"/>
  <c r="W27" i="79"/>
  <c r="V27" i="79"/>
  <c r="S27" i="79"/>
  <c r="T27" i="79" s="1"/>
  <c r="O27" i="79"/>
  <c r="L27" i="79"/>
  <c r="K27" i="79"/>
  <c r="I27" i="79"/>
  <c r="E27" i="79"/>
  <c r="D27" i="79"/>
  <c r="G27" i="79" s="1"/>
  <c r="Q27" i="79" s="1"/>
  <c r="R27" i="79" s="1"/>
  <c r="CD26" i="79"/>
  <c r="BU26" i="79"/>
  <c r="BT26" i="79"/>
  <c r="BE26" i="79"/>
  <c r="BD26" i="79"/>
  <c r="BC26" i="79"/>
  <c r="AX26" i="79"/>
  <c r="AW26" i="79"/>
  <c r="AV26" i="79"/>
  <c r="AQ26" i="79"/>
  <c r="AP26" i="79"/>
  <c r="AO26" i="79"/>
  <c r="AJ26" i="79"/>
  <c r="BK26" i="79" s="1"/>
  <c r="BQ26" i="79" s="1"/>
  <c r="AI26" i="79"/>
  <c r="AH26" i="79"/>
  <c r="AC26" i="79"/>
  <c r="AB26" i="79"/>
  <c r="BI26" i="79" s="1"/>
  <c r="BO26" i="79" s="1"/>
  <c r="AA26" i="79"/>
  <c r="W26" i="79"/>
  <c r="V26" i="79"/>
  <c r="T26" i="79"/>
  <c r="S26" i="79"/>
  <c r="O26" i="79"/>
  <c r="L26" i="79"/>
  <c r="K26" i="79"/>
  <c r="I26" i="79"/>
  <c r="E26" i="79"/>
  <c r="D26" i="79"/>
  <c r="G26" i="79" s="1"/>
  <c r="Q26" i="79" s="1"/>
  <c r="R26" i="79" s="1"/>
  <c r="CD25" i="79"/>
  <c r="BU25" i="79"/>
  <c r="BT25" i="79"/>
  <c r="BE25" i="79"/>
  <c r="BD25" i="79"/>
  <c r="BC25" i="79"/>
  <c r="AX25" i="79"/>
  <c r="AW25" i="79"/>
  <c r="AV25" i="79"/>
  <c r="AQ25" i="79"/>
  <c r="AP25" i="79"/>
  <c r="AO25" i="79"/>
  <c r="AJ25" i="79"/>
  <c r="AI25" i="79"/>
  <c r="AH25" i="79"/>
  <c r="AC25" i="79"/>
  <c r="BK25" i="79" s="1"/>
  <c r="BQ25" i="79" s="1"/>
  <c r="AB25" i="79"/>
  <c r="AA25" i="79"/>
  <c r="BG25" i="79" s="1"/>
  <c r="BM25" i="79" s="1"/>
  <c r="W25" i="79"/>
  <c r="V25" i="79"/>
  <c r="S25" i="79"/>
  <c r="T25" i="79" s="1"/>
  <c r="O25" i="79"/>
  <c r="L25" i="79"/>
  <c r="K25" i="79"/>
  <c r="I25" i="79"/>
  <c r="E25" i="79"/>
  <c r="D25" i="79"/>
  <c r="G25" i="79" s="1"/>
  <c r="Q25" i="79" s="1"/>
  <c r="R25" i="79" s="1"/>
  <c r="CD24" i="79"/>
  <c r="BU24" i="79"/>
  <c r="BT24" i="79"/>
  <c r="BE24" i="79"/>
  <c r="BD24" i="79"/>
  <c r="BC24" i="79"/>
  <c r="AX24" i="79"/>
  <c r="AW24" i="79"/>
  <c r="AV24" i="79"/>
  <c r="AQ24" i="79"/>
  <c r="AP24" i="79"/>
  <c r="AO24" i="79"/>
  <c r="AJ24" i="79"/>
  <c r="BK24" i="79" s="1"/>
  <c r="BQ24" i="79" s="1"/>
  <c r="AI24" i="79"/>
  <c r="AH24" i="79"/>
  <c r="AC24" i="79"/>
  <c r="AB24" i="79"/>
  <c r="BI24" i="79" s="1"/>
  <c r="BO24" i="79" s="1"/>
  <c r="AA24" i="79"/>
  <c r="W24" i="79"/>
  <c r="V24" i="79"/>
  <c r="T24" i="79"/>
  <c r="S24" i="79"/>
  <c r="O24" i="79"/>
  <c r="L24" i="79"/>
  <c r="K24" i="79"/>
  <c r="I24" i="79"/>
  <c r="E24" i="79"/>
  <c r="D24" i="79"/>
  <c r="G24" i="79" s="1"/>
  <c r="Q24" i="79" s="1"/>
  <c r="R24" i="79" s="1"/>
  <c r="CD23" i="79"/>
  <c r="BU23" i="79"/>
  <c r="BT23" i="79"/>
  <c r="BE23" i="79"/>
  <c r="BD23" i="79"/>
  <c r="BC23" i="79"/>
  <c r="AX23" i="79"/>
  <c r="AW23" i="79"/>
  <c r="AV23" i="79"/>
  <c r="AQ23" i="79"/>
  <c r="AP23" i="79"/>
  <c r="AO23" i="79"/>
  <c r="AJ23" i="79"/>
  <c r="AI23" i="79"/>
  <c r="AH23" i="79"/>
  <c r="AC23" i="79"/>
  <c r="BK23" i="79" s="1"/>
  <c r="BQ23" i="79" s="1"/>
  <c r="AB23" i="79"/>
  <c r="AA23" i="79"/>
  <c r="W23" i="79"/>
  <c r="V23" i="79"/>
  <c r="S23" i="79"/>
  <c r="T23" i="79" s="1"/>
  <c r="O23" i="79"/>
  <c r="L23" i="79"/>
  <c r="K23" i="79"/>
  <c r="I23" i="79"/>
  <c r="E23" i="79"/>
  <c r="D23" i="79"/>
  <c r="G23" i="79" s="1"/>
  <c r="Q23" i="79" s="1"/>
  <c r="R23" i="79" s="1"/>
  <c r="CD22" i="79"/>
  <c r="BU22" i="79"/>
  <c r="BT22" i="79"/>
  <c r="BE22" i="79"/>
  <c r="BD22" i="79"/>
  <c r="BC22" i="79"/>
  <c r="AX22" i="79"/>
  <c r="AW22" i="79"/>
  <c r="AV22" i="79"/>
  <c r="AQ22" i="79"/>
  <c r="AP22" i="79"/>
  <c r="AO22" i="79"/>
  <c r="AJ22" i="79"/>
  <c r="BK22" i="79" s="1"/>
  <c r="BQ22" i="79" s="1"/>
  <c r="AI22" i="79"/>
  <c r="AH22" i="79"/>
  <c r="AC22" i="79"/>
  <c r="AB22" i="79"/>
  <c r="BI22" i="79" s="1"/>
  <c r="BO22" i="79" s="1"/>
  <c r="AA22" i="79"/>
  <c r="W22" i="79"/>
  <c r="V22" i="79"/>
  <c r="T22" i="79"/>
  <c r="S22" i="79"/>
  <c r="O22" i="79"/>
  <c r="L22" i="79"/>
  <c r="K22" i="79"/>
  <c r="I22" i="79"/>
  <c r="E22" i="79"/>
  <c r="D22" i="79"/>
  <c r="G22" i="79" s="1"/>
  <c r="Q22" i="79" s="1"/>
  <c r="R22" i="79" s="1"/>
  <c r="CD21" i="79"/>
  <c r="BU21" i="79"/>
  <c r="BT21" i="79"/>
  <c r="BE21" i="79"/>
  <c r="BD21" i="79"/>
  <c r="BC21" i="79"/>
  <c r="AX21" i="79"/>
  <c r="AW21" i="79"/>
  <c r="AV21" i="79"/>
  <c r="AQ21" i="79"/>
  <c r="AP21" i="79"/>
  <c r="AO21" i="79"/>
  <c r="AJ21" i="79"/>
  <c r="AI21" i="79"/>
  <c r="AH21" i="79"/>
  <c r="AC21" i="79"/>
  <c r="BK21" i="79" s="1"/>
  <c r="BQ21" i="79" s="1"/>
  <c r="AB21" i="79"/>
  <c r="AA21" i="79"/>
  <c r="W21" i="79"/>
  <c r="V21" i="79"/>
  <c r="S21" i="79"/>
  <c r="T21" i="79" s="1"/>
  <c r="O21" i="79"/>
  <c r="L21" i="79"/>
  <c r="K21" i="79"/>
  <c r="I21" i="79"/>
  <c r="E21" i="79"/>
  <c r="D21" i="79"/>
  <c r="G21" i="79" s="1"/>
  <c r="Q21" i="79" s="1"/>
  <c r="R21" i="79" s="1"/>
  <c r="CD20" i="79"/>
  <c r="BU20" i="79"/>
  <c r="BT20" i="79"/>
  <c r="BE20" i="79"/>
  <c r="BD20" i="79"/>
  <c r="BC20" i="79"/>
  <c r="AX20" i="79"/>
  <c r="AW20" i="79"/>
  <c r="AV20" i="79"/>
  <c r="AQ20" i="79"/>
  <c r="AP20" i="79"/>
  <c r="AO20" i="79"/>
  <c r="AJ20" i="79"/>
  <c r="AI20" i="79"/>
  <c r="AH20" i="79"/>
  <c r="AC20" i="79"/>
  <c r="BK20" i="79" s="1"/>
  <c r="BQ20" i="79" s="1"/>
  <c r="AB20" i="79"/>
  <c r="AA20" i="79"/>
  <c r="BG20" i="79" s="1"/>
  <c r="BM20" i="79" s="1"/>
  <c r="W20" i="79"/>
  <c r="V20" i="79"/>
  <c r="S20" i="79"/>
  <c r="T20" i="79" s="1"/>
  <c r="O20" i="79"/>
  <c r="L20" i="79"/>
  <c r="K20" i="79"/>
  <c r="I20" i="79"/>
  <c r="E20" i="79"/>
  <c r="D20" i="79"/>
  <c r="G20" i="79" s="1"/>
  <c r="Q20" i="79" s="1"/>
  <c r="R20" i="79" s="1"/>
  <c r="CD19" i="79"/>
  <c r="BU19" i="79"/>
  <c r="BT19" i="79"/>
  <c r="BE19" i="79"/>
  <c r="BD19" i="79"/>
  <c r="BC19" i="79"/>
  <c r="AX19" i="79"/>
  <c r="AW19" i="79"/>
  <c r="AV19" i="79"/>
  <c r="AQ19" i="79"/>
  <c r="AP19" i="79"/>
  <c r="AO19" i="79"/>
  <c r="AJ19" i="79"/>
  <c r="BK19" i="79" s="1"/>
  <c r="BQ19" i="79" s="1"/>
  <c r="AI19" i="79"/>
  <c r="AH19" i="79"/>
  <c r="AC19" i="79"/>
  <c r="AB19" i="79"/>
  <c r="BI19" i="79" s="1"/>
  <c r="BO19" i="79" s="1"/>
  <c r="AA19" i="79"/>
  <c r="W19" i="79"/>
  <c r="V19" i="79"/>
  <c r="T19" i="79"/>
  <c r="S19" i="79"/>
  <c r="O19" i="79"/>
  <c r="L19" i="79"/>
  <c r="K19" i="79"/>
  <c r="I19" i="79"/>
  <c r="E19" i="79"/>
  <c r="D19" i="79"/>
  <c r="G19" i="79" s="1"/>
  <c r="Q19" i="79" s="1"/>
  <c r="R19" i="79" s="1"/>
  <c r="CD18" i="79"/>
  <c r="BU18" i="79"/>
  <c r="BT18" i="79"/>
  <c r="BE18" i="79"/>
  <c r="BD18" i="79"/>
  <c r="BC18" i="79"/>
  <c r="AX18" i="79"/>
  <c r="AW18" i="79"/>
  <c r="AV18" i="79"/>
  <c r="AQ18" i="79"/>
  <c r="AP18" i="79"/>
  <c r="AO18" i="79"/>
  <c r="AJ18" i="79"/>
  <c r="AI18" i="79"/>
  <c r="AH18" i="79"/>
  <c r="AC18" i="79"/>
  <c r="BK18" i="79" s="1"/>
  <c r="BQ18" i="79" s="1"/>
  <c r="AB18" i="79"/>
  <c r="AA18" i="79"/>
  <c r="BG18" i="79" s="1"/>
  <c r="BM18" i="79" s="1"/>
  <c r="W18" i="79"/>
  <c r="V18" i="79"/>
  <c r="S18" i="79"/>
  <c r="T18" i="79" s="1"/>
  <c r="O18" i="79"/>
  <c r="L18" i="79"/>
  <c r="K18" i="79"/>
  <c r="I18" i="79"/>
  <c r="E18" i="79"/>
  <c r="D18" i="79"/>
  <c r="G18" i="79" s="1"/>
  <c r="Q18" i="79" s="1"/>
  <c r="R18" i="79" s="1"/>
  <c r="CD17" i="79"/>
  <c r="BU17" i="79"/>
  <c r="BT17" i="79"/>
  <c r="BE17" i="79"/>
  <c r="BD17" i="79"/>
  <c r="BC17" i="79"/>
  <c r="AX17" i="79"/>
  <c r="AW17" i="79"/>
  <c r="AV17" i="79"/>
  <c r="AQ17" i="79"/>
  <c r="AP17" i="79"/>
  <c r="AO17" i="79"/>
  <c r="AJ17" i="79"/>
  <c r="BK17" i="79" s="1"/>
  <c r="BQ17" i="79" s="1"/>
  <c r="AI17" i="79"/>
  <c r="AH17" i="79"/>
  <c r="AC17" i="79"/>
  <c r="AB17" i="79"/>
  <c r="BI17" i="79" s="1"/>
  <c r="BO17" i="79" s="1"/>
  <c r="AA17" i="79"/>
  <c r="W17" i="79"/>
  <c r="V17" i="79"/>
  <c r="T17" i="79"/>
  <c r="S17" i="79"/>
  <c r="O17" i="79"/>
  <c r="L17" i="79"/>
  <c r="K17" i="79"/>
  <c r="I17" i="79"/>
  <c r="E17" i="79"/>
  <c r="D17" i="79"/>
  <c r="G17" i="79" s="1"/>
  <c r="Q17" i="79" s="1"/>
  <c r="R17" i="79" s="1"/>
  <c r="CD16" i="79"/>
  <c r="BU16" i="79"/>
  <c r="BT16" i="79"/>
  <c r="BE16" i="79"/>
  <c r="BD16" i="79"/>
  <c r="BC16" i="79"/>
  <c r="AX16" i="79"/>
  <c r="AW16" i="79"/>
  <c r="AV16" i="79"/>
  <c r="AQ16" i="79"/>
  <c r="AP16" i="79"/>
  <c r="AO16" i="79"/>
  <c r="AJ16" i="79"/>
  <c r="AI16" i="79"/>
  <c r="AH16" i="79"/>
  <c r="AC16" i="79"/>
  <c r="BK16" i="79" s="1"/>
  <c r="BQ16" i="79" s="1"/>
  <c r="AB16" i="79"/>
  <c r="AA16" i="79"/>
  <c r="BG16" i="79" s="1"/>
  <c r="BM16" i="79" s="1"/>
  <c r="W16" i="79"/>
  <c r="V16" i="79"/>
  <c r="S16" i="79"/>
  <c r="T16" i="79" s="1"/>
  <c r="O16" i="79"/>
  <c r="L16" i="79"/>
  <c r="K16" i="79"/>
  <c r="I16" i="79"/>
  <c r="E16" i="79"/>
  <c r="D16" i="79"/>
  <c r="G16" i="79" s="1"/>
  <c r="Q16" i="79" s="1"/>
  <c r="R16" i="79" s="1"/>
  <c r="CD15" i="79"/>
  <c r="BU15" i="79"/>
  <c r="BT15" i="79"/>
  <c r="BE15" i="79"/>
  <c r="BD15" i="79"/>
  <c r="BC15" i="79"/>
  <c r="AX15" i="79"/>
  <c r="AW15" i="79"/>
  <c r="AV15" i="79"/>
  <c r="AQ15" i="79"/>
  <c r="AP15" i="79"/>
  <c r="AO15" i="79"/>
  <c r="AJ15" i="79"/>
  <c r="BK15" i="79" s="1"/>
  <c r="BQ15" i="79" s="1"/>
  <c r="AI15" i="79"/>
  <c r="AH15" i="79"/>
  <c r="AC15" i="79"/>
  <c r="AB15" i="79"/>
  <c r="BI15" i="79" s="1"/>
  <c r="BO15" i="79" s="1"/>
  <c r="AA15" i="79"/>
  <c r="W15" i="79"/>
  <c r="V15" i="79"/>
  <c r="T15" i="79"/>
  <c r="S15" i="79"/>
  <c r="O15" i="79"/>
  <c r="L15" i="79"/>
  <c r="K15" i="79"/>
  <c r="I15" i="79"/>
  <c r="E15" i="79"/>
  <c r="D15" i="79"/>
  <c r="G15" i="79" s="1"/>
  <c r="Q15" i="79" s="1"/>
  <c r="R15" i="79" s="1"/>
  <c r="CD14" i="79"/>
  <c r="BU14" i="79"/>
  <c r="BT14" i="79"/>
  <c r="BE14" i="79"/>
  <c r="BD14" i="79"/>
  <c r="BC14" i="79"/>
  <c r="AX14" i="79"/>
  <c r="AW14" i="79"/>
  <c r="AV14" i="79"/>
  <c r="AQ14" i="79"/>
  <c r="AP14" i="79"/>
  <c r="AO14" i="79"/>
  <c r="AJ14" i="79"/>
  <c r="AI14" i="79"/>
  <c r="AH14" i="79"/>
  <c r="AC14" i="79"/>
  <c r="BK14" i="79" s="1"/>
  <c r="BQ14" i="79" s="1"/>
  <c r="AB14" i="79"/>
  <c r="AA14" i="79"/>
  <c r="BG14" i="79" s="1"/>
  <c r="BM14" i="79" s="1"/>
  <c r="W14" i="79"/>
  <c r="V14" i="79"/>
  <c r="S14" i="79"/>
  <c r="T14" i="79" s="1"/>
  <c r="O14" i="79"/>
  <c r="L14" i="79"/>
  <c r="K14" i="79"/>
  <c r="I14" i="79"/>
  <c r="E14" i="79"/>
  <c r="D14" i="79"/>
  <c r="G14" i="79" s="1"/>
  <c r="Q14" i="79" s="1"/>
  <c r="R14" i="79" s="1"/>
  <c r="CD13" i="79"/>
  <c r="BU13" i="79"/>
  <c r="BT13" i="79"/>
  <c r="BE13" i="79"/>
  <c r="BD13" i="79"/>
  <c r="BC13" i="79"/>
  <c r="AX13" i="79"/>
  <c r="AW13" i="79"/>
  <c r="AV13" i="79"/>
  <c r="AQ13" i="79"/>
  <c r="AP13" i="79"/>
  <c r="AO13" i="79"/>
  <c r="AJ13" i="79"/>
  <c r="BK13" i="79" s="1"/>
  <c r="BQ13" i="79" s="1"/>
  <c r="AI13" i="79"/>
  <c r="AH13" i="79"/>
  <c r="AC13" i="79"/>
  <c r="AB13" i="79"/>
  <c r="BI13" i="79" s="1"/>
  <c r="BO13" i="79" s="1"/>
  <c r="AA13" i="79"/>
  <c r="W13" i="79"/>
  <c r="V13" i="79"/>
  <c r="T13" i="79"/>
  <c r="S13" i="79"/>
  <c r="O13" i="79"/>
  <c r="L13" i="79"/>
  <c r="K13" i="79"/>
  <c r="I13" i="79"/>
  <c r="E13" i="79"/>
  <c r="D13" i="79"/>
  <c r="G13" i="79" s="1"/>
  <c r="Q13" i="79" s="1"/>
  <c r="R13" i="79" s="1"/>
  <c r="CD12" i="79"/>
  <c r="BU12" i="79"/>
  <c r="BT12" i="79"/>
  <c r="BE12" i="79"/>
  <c r="BD12" i="79"/>
  <c r="BC12" i="79"/>
  <c r="AX12" i="79"/>
  <c r="AW12" i="79"/>
  <c r="AV12" i="79"/>
  <c r="AQ12" i="79"/>
  <c r="AP12" i="79"/>
  <c r="AO12" i="79"/>
  <c r="AJ12" i="79"/>
  <c r="AI12" i="79"/>
  <c r="AH12" i="79"/>
  <c r="AC12" i="79"/>
  <c r="BK12" i="79" s="1"/>
  <c r="BQ12" i="79" s="1"/>
  <c r="AB12" i="79"/>
  <c r="AA12" i="79"/>
  <c r="BG12" i="79" s="1"/>
  <c r="BM12" i="79" s="1"/>
  <c r="W12" i="79"/>
  <c r="V12" i="79"/>
  <c r="S12" i="79"/>
  <c r="T12" i="79" s="1"/>
  <c r="O12" i="79"/>
  <c r="L12" i="79"/>
  <c r="K12" i="79"/>
  <c r="I12" i="79"/>
  <c r="E12" i="79"/>
  <c r="D12" i="79"/>
  <c r="G12" i="79" s="1"/>
  <c r="Q12" i="79" s="1"/>
  <c r="R12" i="79" s="1"/>
  <c r="CD11" i="79"/>
  <c r="BU11" i="79"/>
  <c r="BT11" i="79"/>
  <c r="BE11" i="79"/>
  <c r="BD11" i="79"/>
  <c r="BC11" i="79"/>
  <c r="AX11" i="79"/>
  <c r="AW11" i="79"/>
  <c r="AV11" i="79"/>
  <c r="AQ11" i="79"/>
  <c r="AP11" i="79"/>
  <c r="AO11" i="79"/>
  <c r="AJ11" i="79"/>
  <c r="BK11" i="79" s="1"/>
  <c r="BQ11" i="79" s="1"/>
  <c r="AI11" i="79"/>
  <c r="AH11" i="79"/>
  <c r="AC11" i="79"/>
  <c r="AB11" i="79"/>
  <c r="BI11" i="79" s="1"/>
  <c r="BO11" i="79" s="1"/>
  <c r="AA11" i="79"/>
  <c r="W11" i="79"/>
  <c r="V11" i="79"/>
  <c r="T11" i="79"/>
  <c r="S11" i="79"/>
  <c r="O11" i="79"/>
  <c r="L11" i="79"/>
  <c r="K11" i="79"/>
  <c r="I11" i="79"/>
  <c r="E11" i="79"/>
  <c r="D11" i="79"/>
  <c r="G11" i="79" s="1"/>
  <c r="Q11" i="79" s="1"/>
  <c r="R11" i="79" s="1"/>
  <c r="CD10" i="79"/>
  <c r="BU10" i="79"/>
  <c r="BT10" i="79"/>
  <c r="BE10" i="79"/>
  <c r="BD10" i="79"/>
  <c r="BC10" i="79"/>
  <c r="AX10" i="79"/>
  <c r="AW10" i="79"/>
  <c r="AV10" i="79"/>
  <c r="AQ10" i="79"/>
  <c r="AP10" i="79"/>
  <c r="AO10" i="79"/>
  <c r="AJ10" i="79"/>
  <c r="AI10" i="79"/>
  <c r="AH10" i="79"/>
  <c r="AC10" i="79"/>
  <c r="BK10" i="79" s="1"/>
  <c r="BQ10" i="79" s="1"/>
  <c r="AB10" i="79"/>
  <c r="AA10" i="79"/>
  <c r="BG10" i="79" s="1"/>
  <c r="BM10" i="79" s="1"/>
  <c r="W10" i="79"/>
  <c r="V10" i="79"/>
  <c r="S10" i="79"/>
  <c r="T10" i="79" s="1"/>
  <c r="O10" i="79"/>
  <c r="L10" i="79"/>
  <c r="K10" i="79"/>
  <c r="I10" i="79"/>
  <c r="E10" i="79"/>
  <c r="D10" i="79"/>
  <c r="G10" i="79" s="1"/>
  <c r="Q10" i="79" s="1"/>
  <c r="R10" i="79" s="1"/>
  <c r="CD9" i="79"/>
  <c r="BU9" i="79"/>
  <c r="BT9" i="79"/>
  <c r="BE9" i="79"/>
  <c r="BD9" i="79"/>
  <c r="BC9" i="79"/>
  <c r="AX9" i="79"/>
  <c r="AW9" i="79"/>
  <c r="AV9" i="79"/>
  <c r="AQ9" i="79"/>
  <c r="AP9" i="79"/>
  <c r="AO9" i="79"/>
  <c r="AJ9" i="79"/>
  <c r="BK9" i="79" s="1"/>
  <c r="BQ9" i="79" s="1"/>
  <c r="AI9" i="79"/>
  <c r="AH9" i="79"/>
  <c r="AC9" i="79"/>
  <c r="AB9" i="79"/>
  <c r="BI9" i="79" s="1"/>
  <c r="BO9" i="79" s="1"/>
  <c r="AA9" i="79"/>
  <c r="W9" i="79"/>
  <c r="V9" i="79"/>
  <c r="T9" i="79"/>
  <c r="S9" i="79"/>
  <c r="O9" i="79"/>
  <c r="L9" i="79"/>
  <c r="K9" i="79"/>
  <c r="I9" i="79"/>
  <c r="E9" i="79"/>
  <c r="D9" i="79"/>
  <c r="G9" i="79" s="1"/>
  <c r="Q9" i="79" s="1"/>
  <c r="R9" i="79" s="1"/>
  <c r="CD8" i="79"/>
  <c r="BU8" i="79"/>
  <c r="BT8" i="79"/>
  <c r="BE8" i="79"/>
  <c r="BD8" i="79"/>
  <c r="BC8" i="79"/>
  <c r="AX8" i="79"/>
  <c r="AW8" i="79"/>
  <c r="AV8" i="79"/>
  <c r="AQ8" i="79"/>
  <c r="AP8" i="79"/>
  <c r="AO8" i="79"/>
  <c r="AJ8" i="79"/>
  <c r="AI8" i="79"/>
  <c r="AH8" i="79"/>
  <c r="AC8" i="79"/>
  <c r="BK8" i="79" s="1"/>
  <c r="BQ8" i="79" s="1"/>
  <c r="BQ32" i="79" s="1"/>
  <c r="BQ33" i="79" s="1"/>
  <c r="BK33" i="79" s="1"/>
  <c r="AB8" i="79"/>
  <c r="AA8" i="79"/>
  <c r="BG8" i="79" s="1"/>
  <c r="BM8" i="79" s="1"/>
  <c r="W8" i="79"/>
  <c r="V8" i="79"/>
  <c r="S8" i="79"/>
  <c r="T8" i="79" s="1"/>
  <c r="O8" i="79"/>
  <c r="L8" i="79"/>
  <c r="K8" i="79"/>
  <c r="I8" i="79"/>
  <c r="E8" i="79"/>
  <c r="D8" i="79"/>
  <c r="G8" i="79" s="1"/>
  <c r="Q8" i="79" s="1"/>
  <c r="R8" i="79" s="1"/>
  <c r="R32" i="79" s="1"/>
  <c r="CD7" i="79"/>
  <c r="CD6" i="79"/>
  <c r="CD5" i="79"/>
  <c r="CD4" i="79"/>
  <c r="CD3" i="79"/>
  <c r="C3" i="79"/>
  <c r="C2" i="79"/>
  <c r="C3" i="78"/>
  <c r="C2" i="78"/>
  <c r="C1" i="72"/>
  <c r="CD61" i="78"/>
  <c r="CD60" i="78"/>
  <c r="CD59" i="78"/>
  <c r="CD58" i="78"/>
  <c r="CD57" i="78"/>
  <c r="CD56" i="78"/>
  <c r="CD55" i="78"/>
  <c r="CD54" i="78"/>
  <c r="CD53" i="78"/>
  <c r="CD52" i="78"/>
  <c r="CD51" i="78"/>
  <c r="CD50" i="78"/>
  <c r="CD49" i="78"/>
  <c r="CD48" i="78"/>
  <c r="CD47" i="78"/>
  <c r="CD46" i="78"/>
  <c r="CD45" i="78"/>
  <c r="CD44" i="78"/>
  <c r="CD43" i="78"/>
  <c r="CD42" i="78"/>
  <c r="CD41" i="78"/>
  <c r="CD40" i="78"/>
  <c r="CD39" i="78"/>
  <c r="CD38" i="78"/>
  <c r="CD37" i="78"/>
  <c r="CD36" i="78"/>
  <c r="CD35" i="78"/>
  <c r="CD34" i="78"/>
  <c r="CD33" i="78"/>
  <c r="CD32" i="78"/>
  <c r="B32" i="78"/>
  <c r="CD31" i="78"/>
  <c r="BU31" i="78"/>
  <c r="BT31" i="78"/>
  <c r="BI31" i="78"/>
  <c r="BO31" i="78" s="1"/>
  <c r="BE31" i="78"/>
  <c r="BD31" i="78"/>
  <c r="BC31" i="78"/>
  <c r="AX31" i="78"/>
  <c r="AW31" i="78"/>
  <c r="AV31" i="78"/>
  <c r="AQ31" i="78"/>
  <c r="AP31" i="78"/>
  <c r="AO31" i="78"/>
  <c r="AJ31" i="78"/>
  <c r="BK31" i="78" s="1"/>
  <c r="BQ31" i="78" s="1"/>
  <c r="AI31" i="78"/>
  <c r="AH31" i="78"/>
  <c r="AC31" i="78"/>
  <c r="AB31" i="78"/>
  <c r="BG31" i="78" s="1"/>
  <c r="BM31" i="78" s="1"/>
  <c r="AA31" i="78"/>
  <c r="BJ31" i="78" s="1"/>
  <c r="BP31" i="78" s="1"/>
  <c r="W31" i="78"/>
  <c r="V31" i="78"/>
  <c r="S31" i="78"/>
  <c r="T31" i="78" s="1"/>
  <c r="O31" i="78"/>
  <c r="L31" i="78"/>
  <c r="K31" i="78"/>
  <c r="I31" i="78"/>
  <c r="E31" i="78"/>
  <c r="D31" i="78"/>
  <c r="G31" i="78" s="1"/>
  <c r="Q31" i="78" s="1"/>
  <c r="R31" i="78" s="1"/>
  <c r="CD30" i="78"/>
  <c r="BU30" i="78"/>
  <c r="BT30" i="78"/>
  <c r="BQ30" i="78"/>
  <c r="BM30" i="78"/>
  <c r="BH30" i="78"/>
  <c r="BN30" i="78" s="1"/>
  <c r="BE30" i="78"/>
  <c r="BD30" i="78"/>
  <c r="BC30" i="78"/>
  <c r="AX30" i="78"/>
  <c r="AW30" i="78"/>
  <c r="AV30" i="78"/>
  <c r="AQ30" i="78"/>
  <c r="AP30" i="78"/>
  <c r="AO30" i="78"/>
  <c r="AJ30" i="78"/>
  <c r="AI30" i="78"/>
  <c r="AH30" i="78"/>
  <c r="AC30" i="78"/>
  <c r="BK30" i="78" s="1"/>
  <c r="AB30" i="78"/>
  <c r="BI30" i="78" s="1"/>
  <c r="BO30" i="78" s="1"/>
  <c r="AA30" i="78"/>
  <c r="BG30" i="78" s="1"/>
  <c r="W30" i="78"/>
  <c r="V30" i="78"/>
  <c r="S30" i="78"/>
  <c r="T30" i="78" s="1"/>
  <c r="O30" i="78"/>
  <c r="L30" i="78"/>
  <c r="K30" i="78"/>
  <c r="I30" i="78"/>
  <c r="E30" i="78"/>
  <c r="D30" i="78"/>
  <c r="CD29" i="78"/>
  <c r="BU29" i="78"/>
  <c r="BT29" i="78"/>
  <c r="BI29" i="78"/>
  <c r="BO29" i="78" s="1"/>
  <c r="BE29" i="78"/>
  <c r="BD29" i="78"/>
  <c r="BC29" i="78"/>
  <c r="AX29" i="78"/>
  <c r="AW29" i="78"/>
  <c r="AV29" i="78"/>
  <c r="AQ29" i="78"/>
  <c r="AP29" i="78"/>
  <c r="AO29" i="78"/>
  <c r="AJ29" i="78"/>
  <c r="BK29" i="78" s="1"/>
  <c r="BQ29" i="78" s="1"/>
  <c r="AI29" i="78"/>
  <c r="AH29" i="78"/>
  <c r="AC29" i="78"/>
  <c r="AB29" i="78"/>
  <c r="BG29" i="78" s="1"/>
  <c r="BM29" i="78" s="1"/>
  <c r="AA29" i="78"/>
  <c r="BJ29" i="78" s="1"/>
  <c r="BP29" i="78" s="1"/>
  <c r="W29" i="78"/>
  <c r="V29" i="78"/>
  <c r="T29" i="78"/>
  <c r="S29" i="78"/>
  <c r="O29" i="78"/>
  <c r="L29" i="78"/>
  <c r="K29" i="78"/>
  <c r="I29" i="78"/>
  <c r="E29" i="78"/>
  <c r="D29" i="78"/>
  <c r="G29" i="78" s="1"/>
  <c r="Q29" i="78" s="1"/>
  <c r="R29" i="78" s="1"/>
  <c r="CD28" i="78"/>
  <c r="BU28" i="78"/>
  <c r="BT28" i="78"/>
  <c r="BQ28" i="78"/>
  <c r="BM28" i="78"/>
  <c r="BH28" i="78"/>
  <c r="BN28" i="78" s="1"/>
  <c r="BE28" i="78"/>
  <c r="BD28" i="78"/>
  <c r="BC28" i="78"/>
  <c r="AX28" i="78"/>
  <c r="AW28" i="78"/>
  <c r="AV28" i="78"/>
  <c r="AQ28" i="78"/>
  <c r="AP28" i="78"/>
  <c r="AO28" i="78"/>
  <c r="AJ28" i="78"/>
  <c r="AI28" i="78"/>
  <c r="AH28" i="78"/>
  <c r="AC28" i="78"/>
  <c r="BK28" i="78" s="1"/>
  <c r="AB28" i="78"/>
  <c r="BI28" i="78" s="1"/>
  <c r="BO28" i="78" s="1"/>
  <c r="AA28" i="78"/>
  <c r="BG28" i="78" s="1"/>
  <c r="W28" i="78"/>
  <c r="V28" i="78"/>
  <c r="S28" i="78"/>
  <c r="T28" i="78" s="1"/>
  <c r="O28" i="78"/>
  <c r="L28" i="78"/>
  <c r="K28" i="78"/>
  <c r="I28" i="78"/>
  <c r="E28" i="78"/>
  <c r="D28" i="78"/>
  <c r="CD27" i="78"/>
  <c r="BU27" i="78"/>
  <c r="BT27" i="78"/>
  <c r="BI27" i="78"/>
  <c r="BO27" i="78" s="1"/>
  <c r="BE27" i="78"/>
  <c r="BD27" i="78"/>
  <c r="BC27" i="78"/>
  <c r="AX27" i="78"/>
  <c r="AW27" i="78"/>
  <c r="AV27" i="78"/>
  <c r="AQ27" i="78"/>
  <c r="AP27" i="78"/>
  <c r="AO27" i="78"/>
  <c r="AJ27" i="78"/>
  <c r="BK27" i="78" s="1"/>
  <c r="BQ27" i="78" s="1"/>
  <c r="AI27" i="78"/>
  <c r="AH27" i="78"/>
  <c r="AC27" i="78"/>
  <c r="AB27" i="78"/>
  <c r="BG27" i="78" s="1"/>
  <c r="BM27" i="78" s="1"/>
  <c r="AA27" i="78"/>
  <c r="BJ27" i="78" s="1"/>
  <c r="BP27" i="78" s="1"/>
  <c r="W27" i="78"/>
  <c r="V27" i="78"/>
  <c r="S27" i="78"/>
  <c r="T27" i="78" s="1"/>
  <c r="O27" i="78"/>
  <c r="L27" i="78"/>
  <c r="K27" i="78"/>
  <c r="I27" i="78"/>
  <c r="E27" i="78"/>
  <c r="D27" i="78"/>
  <c r="G27" i="78" s="1"/>
  <c r="Q27" i="78" s="1"/>
  <c r="R27" i="78" s="1"/>
  <c r="CD26" i="78"/>
  <c r="BU26" i="78"/>
  <c r="BT26" i="78"/>
  <c r="BE26" i="78"/>
  <c r="BD26" i="78"/>
  <c r="BC26" i="78"/>
  <c r="AX26" i="78"/>
  <c r="AW26" i="78"/>
  <c r="AV26" i="78"/>
  <c r="AQ26" i="78"/>
  <c r="AP26" i="78"/>
  <c r="AO26" i="78"/>
  <c r="AJ26" i="78"/>
  <c r="AI26" i="78"/>
  <c r="AH26" i="78"/>
  <c r="AC26" i="78"/>
  <c r="BK26" i="78" s="1"/>
  <c r="BQ26" i="78" s="1"/>
  <c r="AB26" i="78"/>
  <c r="AA26" i="78"/>
  <c r="BG26" i="78" s="1"/>
  <c r="BM26" i="78" s="1"/>
  <c r="W26" i="78"/>
  <c r="V26" i="78"/>
  <c r="S26" i="78"/>
  <c r="T26" i="78" s="1"/>
  <c r="O26" i="78"/>
  <c r="L26" i="78"/>
  <c r="K26" i="78"/>
  <c r="I26" i="78"/>
  <c r="E26" i="78"/>
  <c r="D26" i="78"/>
  <c r="G26" i="78" s="1"/>
  <c r="Q26" i="78" s="1"/>
  <c r="R26" i="78" s="1"/>
  <c r="CD25" i="78"/>
  <c r="BU25" i="78"/>
  <c r="BT25" i="78"/>
  <c r="BE25" i="78"/>
  <c r="BD25" i="78"/>
  <c r="BC25" i="78"/>
  <c r="AX25" i="78"/>
  <c r="AW25" i="78"/>
  <c r="AV25" i="78"/>
  <c r="AQ25" i="78"/>
  <c r="AP25" i="78"/>
  <c r="AO25" i="78"/>
  <c r="AJ25" i="78"/>
  <c r="BK25" i="78" s="1"/>
  <c r="BQ25" i="78" s="1"/>
  <c r="AI25" i="78"/>
  <c r="AH25" i="78"/>
  <c r="AC25" i="78"/>
  <c r="AB25" i="78"/>
  <c r="BI25" i="78" s="1"/>
  <c r="BO25" i="78" s="1"/>
  <c r="AA25" i="78"/>
  <c r="W25" i="78"/>
  <c r="V25" i="78"/>
  <c r="T25" i="78"/>
  <c r="S25" i="78"/>
  <c r="O25" i="78"/>
  <c r="L25" i="78"/>
  <c r="K25" i="78"/>
  <c r="I25" i="78"/>
  <c r="E25" i="78"/>
  <c r="D25" i="78"/>
  <c r="G25" i="78" s="1"/>
  <c r="Q25" i="78" s="1"/>
  <c r="R25" i="78" s="1"/>
  <c r="CD24" i="78"/>
  <c r="BU24" i="78"/>
  <c r="BT24" i="78"/>
  <c r="BE24" i="78"/>
  <c r="BD24" i="78"/>
  <c r="BC24" i="78"/>
  <c r="AX24" i="78"/>
  <c r="AW24" i="78"/>
  <c r="AV24" i="78"/>
  <c r="AQ24" i="78"/>
  <c r="AP24" i="78"/>
  <c r="AO24" i="78"/>
  <c r="AJ24" i="78"/>
  <c r="AI24" i="78"/>
  <c r="AH24" i="78"/>
  <c r="AC24" i="78"/>
  <c r="BK24" i="78" s="1"/>
  <c r="BQ24" i="78" s="1"/>
  <c r="AB24" i="78"/>
  <c r="AA24" i="78"/>
  <c r="BG24" i="78" s="1"/>
  <c r="BM24" i="78" s="1"/>
  <c r="W24" i="78"/>
  <c r="V24" i="78"/>
  <c r="S24" i="78"/>
  <c r="T24" i="78" s="1"/>
  <c r="O24" i="78"/>
  <c r="L24" i="78"/>
  <c r="K24" i="78"/>
  <c r="I24" i="78"/>
  <c r="E24" i="78"/>
  <c r="D24" i="78"/>
  <c r="G24" i="78" s="1"/>
  <c r="Q24" i="78" s="1"/>
  <c r="R24" i="78" s="1"/>
  <c r="CD23" i="78"/>
  <c r="BU23" i="78"/>
  <c r="BT23" i="78"/>
  <c r="BE23" i="78"/>
  <c r="BD23" i="78"/>
  <c r="BC23" i="78"/>
  <c r="AX23" i="78"/>
  <c r="AW23" i="78"/>
  <c r="AV23" i="78"/>
  <c r="AQ23" i="78"/>
  <c r="AP23" i="78"/>
  <c r="AO23" i="78"/>
  <c r="AJ23" i="78"/>
  <c r="BK23" i="78" s="1"/>
  <c r="BQ23" i="78" s="1"/>
  <c r="AI23" i="78"/>
  <c r="AH23" i="78"/>
  <c r="AC23" i="78"/>
  <c r="AB23" i="78"/>
  <c r="BI23" i="78" s="1"/>
  <c r="BO23" i="78" s="1"/>
  <c r="AA23" i="78"/>
  <c r="W23" i="78"/>
  <c r="V23" i="78"/>
  <c r="S23" i="78"/>
  <c r="T23" i="78" s="1"/>
  <c r="O23" i="78"/>
  <c r="L23" i="78"/>
  <c r="K23" i="78"/>
  <c r="I23" i="78"/>
  <c r="E23" i="78"/>
  <c r="D23" i="78"/>
  <c r="G23" i="78" s="1"/>
  <c r="Q23" i="78" s="1"/>
  <c r="R23" i="78" s="1"/>
  <c r="CD22" i="78"/>
  <c r="BU22" i="78"/>
  <c r="BT22" i="78"/>
  <c r="BE22" i="78"/>
  <c r="BD22" i="78"/>
  <c r="BC22" i="78"/>
  <c r="AX22" i="78"/>
  <c r="AW22" i="78"/>
  <c r="AV22" i="78"/>
  <c r="AQ22" i="78"/>
  <c r="AP22" i="78"/>
  <c r="AO22" i="78"/>
  <c r="AJ22" i="78"/>
  <c r="AI22" i="78"/>
  <c r="AH22" i="78"/>
  <c r="AC22" i="78"/>
  <c r="BK22" i="78" s="1"/>
  <c r="BQ22" i="78" s="1"/>
  <c r="AB22" i="78"/>
  <c r="AA22" i="78"/>
  <c r="BG22" i="78" s="1"/>
  <c r="BM22" i="78" s="1"/>
  <c r="W22" i="78"/>
  <c r="V22" i="78"/>
  <c r="S22" i="78"/>
  <c r="T22" i="78" s="1"/>
  <c r="O22" i="78"/>
  <c r="L22" i="78"/>
  <c r="K22" i="78"/>
  <c r="I22" i="78"/>
  <c r="E22" i="78"/>
  <c r="D22" i="78"/>
  <c r="G22" i="78" s="1"/>
  <c r="Q22" i="78" s="1"/>
  <c r="R22" i="78" s="1"/>
  <c r="CD21" i="78"/>
  <c r="BU21" i="78"/>
  <c r="BT21" i="78"/>
  <c r="BE21" i="78"/>
  <c r="BD21" i="78"/>
  <c r="BC21" i="78"/>
  <c r="AX21" i="78"/>
  <c r="AW21" i="78"/>
  <c r="AV21" i="78"/>
  <c r="AQ21" i="78"/>
  <c r="AP21" i="78"/>
  <c r="AO21" i="78"/>
  <c r="AJ21" i="78"/>
  <c r="BK21" i="78" s="1"/>
  <c r="BQ21" i="78" s="1"/>
  <c r="AI21" i="78"/>
  <c r="AH21" i="78"/>
  <c r="AC21" i="78"/>
  <c r="AB21" i="78"/>
  <c r="BI21" i="78" s="1"/>
  <c r="BO21" i="78" s="1"/>
  <c r="AA21" i="78"/>
  <c r="W21" i="78"/>
  <c r="V21" i="78"/>
  <c r="T21" i="78"/>
  <c r="S21" i="78"/>
  <c r="O21" i="78"/>
  <c r="L21" i="78"/>
  <c r="K21" i="78"/>
  <c r="I21" i="78"/>
  <c r="E21" i="78"/>
  <c r="D21" i="78"/>
  <c r="G21" i="78" s="1"/>
  <c r="Q21" i="78" s="1"/>
  <c r="R21" i="78" s="1"/>
  <c r="CD20" i="78"/>
  <c r="BU20" i="78"/>
  <c r="BT20" i="78"/>
  <c r="BE20" i="78"/>
  <c r="BD20" i="78"/>
  <c r="BC20" i="78"/>
  <c r="AX20" i="78"/>
  <c r="AW20" i="78"/>
  <c r="AV20" i="78"/>
  <c r="AQ20" i="78"/>
  <c r="AP20" i="78"/>
  <c r="AO20" i="78"/>
  <c r="AJ20" i="78"/>
  <c r="AI20" i="78"/>
  <c r="AH20" i="78"/>
  <c r="AC20" i="78"/>
  <c r="BK20" i="78" s="1"/>
  <c r="BQ20" i="78" s="1"/>
  <c r="AB20" i="78"/>
  <c r="BI20" i="78" s="1"/>
  <c r="BO20" i="78" s="1"/>
  <c r="AA20" i="78"/>
  <c r="BG20" i="78" s="1"/>
  <c r="BM20" i="78" s="1"/>
  <c r="W20" i="78"/>
  <c r="V20" i="78"/>
  <c r="S20" i="78"/>
  <c r="T20" i="78" s="1"/>
  <c r="O20" i="78"/>
  <c r="L20" i="78"/>
  <c r="K20" i="78"/>
  <c r="I20" i="78"/>
  <c r="E20" i="78"/>
  <c r="D20" i="78"/>
  <c r="G20" i="78" s="1"/>
  <c r="Q20" i="78" s="1"/>
  <c r="R20" i="78" s="1"/>
  <c r="CD19" i="78"/>
  <c r="BU19" i="78"/>
  <c r="BT19" i="78"/>
  <c r="BE19" i="78"/>
  <c r="BD19" i="78"/>
  <c r="BC19" i="78"/>
  <c r="AX19" i="78"/>
  <c r="AW19" i="78"/>
  <c r="AV19" i="78"/>
  <c r="AQ19" i="78"/>
  <c r="AP19" i="78"/>
  <c r="AO19" i="78"/>
  <c r="AJ19" i="78"/>
  <c r="BK19" i="78" s="1"/>
  <c r="BQ19" i="78" s="1"/>
  <c r="AI19" i="78"/>
  <c r="AH19" i="78"/>
  <c r="AC19" i="78"/>
  <c r="AB19" i="78"/>
  <c r="BI19" i="78" s="1"/>
  <c r="BO19" i="78" s="1"/>
  <c r="AA19" i="78"/>
  <c r="BJ19" i="78" s="1"/>
  <c r="BP19" i="78" s="1"/>
  <c r="W19" i="78"/>
  <c r="V19" i="78"/>
  <c r="S19" i="78"/>
  <c r="T19" i="78" s="1"/>
  <c r="O19" i="78"/>
  <c r="L19" i="78"/>
  <c r="K19" i="78"/>
  <c r="I19" i="78"/>
  <c r="E19" i="78"/>
  <c r="D19" i="78"/>
  <c r="G19" i="78" s="1"/>
  <c r="Q19" i="78" s="1"/>
  <c r="R19" i="78" s="1"/>
  <c r="CD18" i="78"/>
  <c r="BU18" i="78"/>
  <c r="BT18" i="78"/>
  <c r="BE18" i="78"/>
  <c r="BD18" i="78"/>
  <c r="BC18" i="78"/>
  <c r="AX18" i="78"/>
  <c r="AW18" i="78"/>
  <c r="AV18" i="78"/>
  <c r="AQ18" i="78"/>
  <c r="AP18" i="78"/>
  <c r="AO18" i="78"/>
  <c r="AJ18" i="78"/>
  <c r="AI18" i="78"/>
  <c r="AH18" i="78"/>
  <c r="AC18" i="78"/>
  <c r="BK18" i="78" s="1"/>
  <c r="BQ18" i="78" s="1"/>
  <c r="AB18" i="78"/>
  <c r="BI18" i="78" s="1"/>
  <c r="BO18" i="78" s="1"/>
  <c r="AA18" i="78"/>
  <c r="BG18" i="78" s="1"/>
  <c r="BM18" i="78" s="1"/>
  <c r="W18" i="78"/>
  <c r="V18" i="78"/>
  <c r="S18" i="78"/>
  <c r="T18" i="78" s="1"/>
  <c r="O18" i="78"/>
  <c r="L18" i="78"/>
  <c r="K18" i="78"/>
  <c r="I18" i="78"/>
  <c r="E18" i="78"/>
  <c r="D18" i="78"/>
  <c r="G18" i="78" s="1"/>
  <c r="Q18" i="78" s="1"/>
  <c r="R18" i="78" s="1"/>
  <c r="CD17" i="78"/>
  <c r="BU17" i="78"/>
  <c r="BT17" i="78"/>
  <c r="BE17" i="78"/>
  <c r="BD17" i="78"/>
  <c r="BC17" i="78"/>
  <c r="AX17" i="78"/>
  <c r="AW17" i="78"/>
  <c r="AV17" i="78"/>
  <c r="AQ17" i="78"/>
  <c r="AP17" i="78"/>
  <c r="AO17" i="78"/>
  <c r="AJ17" i="78"/>
  <c r="BK17" i="78" s="1"/>
  <c r="BQ17" i="78" s="1"/>
  <c r="AI17" i="78"/>
  <c r="AH17" i="78"/>
  <c r="AC17" i="78"/>
  <c r="AB17" i="78"/>
  <c r="BI17" i="78" s="1"/>
  <c r="BO17" i="78" s="1"/>
  <c r="AA17" i="78"/>
  <c r="BJ17" i="78" s="1"/>
  <c r="BP17" i="78" s="1"/>
  <c r="W17" i="78"/>
  <c r="V17" i="78"/>
  <c r="T17" i="78"/>
  <c r="S17" i="78"/>
  <c r="O17" i="78"/>
  <c r="L17" i="78"/>
  <c r="K17" i="78"/>
  <c r="I17" i="78"/>
  <c r="E17" i="78"/>
  <c r="D17" i="78"/>
  <c r="G17" i="78" s="1"/>
  <c r="Q17" i="78" s="1"/>
  <c r="R17" i="78" s="1"/>
  <c r="CD16" i="78"/>
  <c r="BU16" i="78"/>
  <c r="BT16" i="78"/>
  <c r="BE16" i="78"/>
  <c r="BD16" i="78"/>
  <c r="BC16" i="78"/>
  <c r="AX16" i="78"/>
  <c r="AW16" i="78"/>
  <c r="AV16" i="78"/>
  <c r="AQ16" i="78"/>
  <c r="AP16" i="78"/>
  <c r="AO16" i="78"/>
  <c r="AJ16" i="78"/>
  <c r="AI16" i="78"/>
  <c r="AH16" i="78"/>
  <c r="AC16" i="78"/>
  <c r="BK16" i="78" s="1"/>
  <c r="BQ16" i="78" s="1"/>
  <c r="AB16" i="78"/>
  <c r="BI16" i="78" s="1"/>
  <c r="BO16" i="78" s="1"/>
  <c r="AA16" i="78"/>
  <c r="W16" i="78"/>
  <c r="V16" i="78"/>
  <c r="S16" i="78"/>
  <c r="T16" i="78" s="1"/>
  <c r="O16" i="78"/>
  <c r="L16" i="78"/>
  <c r="K16" i="78"/>
  <c r="I16" i="78"/>
  <c r="E16" i="78"/>
  <c r="D16" i="78"/>
  <c r="G16" i="78" s="1"/>
  <c r="Q16" i="78" s="1"/>
  <c r="R16" i="78" s="1"/>
  <c r="CD15" i="78"/>
  <c r="BU15" i="78"/>
  <c r="BT15" i="78"/>
  <c r="BE15" i="78"/>
  <c r="BD15" i="78"/>
  <c r="BC15" i="78"/>
  <c r="AX15" i="78"/>
  <c r="AW15" i="78"/>
  <c r="AV15" i="78"/>
  <c r="AQ15" i="78"/>
  <c r="AP15" i="78"/>
  <c r="AO15" i="78"/>
  <c r="AJ15" i="78"/>
  <c r="BK15" i="78" s="1"/>
  <c r="BQ15" i="78" s="1"/>
  <c r="AI15" i="78"/>
  <c r="AH15" i="78"/>
  <c r="AC15" i="78"/>
  <c r="AB15" i="78"/>
  <c r="BG15" i="78" s="1"/>
  <c r="BM15" i="78" s="1"/>
  <c r="AA15" i="78"/>
  <c r="W15" i="78"/>
  <c r="V15" i="78"/>
  <c r="S15" i="78"/>
  <c r="T15" i="78" s="1"/>
  <c r="O15" i="78"/>
  <c r="L15" i="78"/>
  <c r="K15" i="78"/>
  <c r="I15" i="78"/>
  <c r="E15" i="78"/>
  <c r="D15" i="78"/>
  <c r="G15" i="78" s="1"/>
  <c r="Q15" i="78" s="1"/>
  <c r="R15" i="78" s="1"/>
  <c r="CD14" i="78"/>
  <c r="BU14" i="78"/>
  <c r="BT14" i="78"/>
  <c r="BE14" i="78"/>
  <c r="BD14" i="78"/>
  <c r="BC14" i="78"/>
  <c r="AX14" i="78"/>
  <c r="AW14" i="78"/>
  <c r="AV14" i="78"/>
  <c r="AQ14" i="78"/>
  <c r="AP14" i="78"/>
  <c r="AO14" i="78"/>
  <c r="AJ14" i="78"/>
  <c r="AI14" i="78"/>
  <c r="AH14" i="78"/>
  <c r="AC14" i="78"/>
  <c r="BK14" i="78" s="1"/>
  <c r="BQ14" i="78" s="1"/>
  <c r="AB14" i="78"/>
  <c r="AA14" i="78"/>
  <c r="BG14" i="78" s="1"/>
  <c r="BM14" i="78" s="1"/>
  <c r="W14" i="78"/>
  <c r="V14" i="78"/>
  <c r="S14" i="78"/>
  <c r="T14" i="78" s="1"/>
  <c r="O14" i="78"/>
  <c r="L14" i="78"/>
  <c r="K14" i="78"/>
  <c r="I14" i="78"/>
  <c r="E14" i="78"/>
  <c r="D14" i="78"/>
  <c r="G14" i="78" s="1"/>
  <c r="Q14" i="78" s="1"/>
  <c r="R14" i="78" s="1"/>
  <c r="CD13" i="78"/>
  <c r="BU13" i="78"/>
  <c r="BT13" i="78"/>
  <c r="BE13" i="78"/>
  <c r="BD13" i="78"/>
  <c r="BC13" i="78"/>
  <c r="AX13" i="78"/>
  <c r="AW13" i="78"/>
  <c r="AV13" i="78"/>
  <c r="AQ13" i="78"/>
  <c r="AP13" i="78"/>
  <c r="AO13" i="78"/>
  <c r="AJ13" i="78"/>
  <c r="BK13" i="78" s="1"/>
  <c r="BQ13" i="78" s="1"/>
  <c r="AI13" i="78"/>
  <c r="AH13" i="78"/>
  <c r="AC13" i="78"/>
  <c r="AB13" i="78"/>
  <c r="BI13" i="78" s="1"/>
  <c r="BO13" i="78" s="1"/>
  <c r="AA13" i="78"/>
  <c r="BJ13" i="78" s="1"/>
  <c r="BP13" i="78" s="1"/>
  <c r="W13" i="78"/>
  <c r="V13" i="78"/>
  <c r="T13" i="78"/>
  <c r="S13" i="78"/>
  <c r="O13" i="78"/>
  <c r="L13" i="78"/>
  <c r="K13" i="78"/>
  <c r="I13" i="78"/>
  <c r="E13" i="78"/>
  <c r="D13" i="78"/>
  <c r="G13" i="78" s="1"/>
  <c r="Q13" i="78" s="1"/>
  <c r="R13" i="78" s="1"/>
  <c r="CD12" i="78"/>
  <c r="BU12" i="78"/>
  <c r="BT12" i="78"/>
  <c r="BE12" i="78"/>
  <c r="BD12" i="78"/>
  <c r="BC12" i="78"/>
  <c r="AX12" i="78"/>
  <c r="AW12" i="78"/>
  <c r="AV12" i="78"/>
  <c r="AQ12" i="78"/>
  <c r="AP12" i="78"/>
  <c r="AO12" i="78"/>
  <c r="AJ12" i="78"/>
  <c r="AI12" i="78"/>
  <c r="AH12" i="78"/>
  <c r="AC12" i="78"/>
  <c r="BK12" i="78" s="1"/>
  <c r="BQ12" i="78" s="1"/>
  <c r="AB12" i="78"/>
  <c r="BI12" i="78" s="1"/>
  <c r="BO12" i="78" s="1"/>
  <c r="AA12" i="78"/>
  <c r="BJ12" i="78" s="1"/>
  <c r="BP12" i="78" s="1"/>
  <c r="W12" i="78"/>
  <c r="V12" i="78"/>
  <c r="S12" i="78"/>
  <c r="T12" i="78" s="1"/>
  <c r="O12" i="78"/>
  <c r="L12" i="78"/>
  <c r="K12" i="78"/>
  <c r="I12" i="78"/>
  <c r="E12" i="78"/>
  <c r="D12" i="78"/>
  <c r="G12" i="78" s="1"/>
  <c r="Q12" i="78" s="1"/>
  <c r="R12" i="78" s="1"/>
  <c r="CD11" i="78"/>
  <c r="BU11" i="78"/>
  <c r="BT11" i="78"/>
  <c r="BE11" i="78"/>
  <c r="BD11" i="78"/>
  <c r="BC11" i="78"/>
  <c r="AX11" i="78"/>
  <c r="AW11" i="78"/>
  <c r="AV11" i="78"/>
  <c r="AQ11" i="78"/>
  <c r="AP11" i="78"/>
  <c r="AO11" i="78"/>
  <c r="AJ11" i="78"/>
  <c r="BK11" i="78" s="1"/>
  <c r="BQ11" i="78" s="1"/>
  <c r="AI11" i="78"/>
  <c r="AH11" i="78"/>
  <c r="AC11" i="78"/>
  <c r="AB11" i="78"/>
  <c r="BI11" i="78" s="1"/>
  <c r="BO11" i="78" s="1"/>
  <c r="AA11" i="78"/>
  <c r="BJ11" i="78" s="1"/>
  <c r="BP11" i="78" s="1"/>
  <c r="W11" i="78"/>
  <c r="V11" i="78"/>
  <c r="S11" i="78"/>
  <c r="T11" i="78" s="1"/>
  <c r="O11" i="78"/>
  <c r="L11" i="78"/>
  <c r="K11" i="78"/>
  <c r="I11" i="78"/>
  <c r="E11" i="78"/>
  <c r="D11" i="78"/>
  <c r="G11" i="78" s="1"/>
  <c r="Q11" i="78" s="1"/>
  <c r="R11" i="78" s="1"/>
  <c r="CD10" i="78"/>
  <c r="BU10" i="78"/>
  <c r="BT10" i="78"/>
  <c r="BE10" i="78"/>
  <c r="BD10" i="78"/>
  <c r="BC10" i="78"/>
  <c r="AX10" i="78"/>
  <c r="AW10" i="78"/>
  <c r="AV10" i="78"/>
  <c r="AQ10" i="78"/>
  <c r="AP10" i="78"/>
  <c r="AO10" i="78"/>
  <c r="AJ10" i="78"/>
  <c r="AI10" i="78"/>
  <c r="AH10" i="78"/>
  <c r="AC10" i="78"/>
  <c r="BK10" i="78" s="1"/>
  <c r="BQ10" i="78" s="1"/>
  <c r="AB10" i="78"/>
  <c r="BI10" i="78" s="1"/>
  <c r="BO10" i="78" s="1"/>
  <c r="AA10" i="78"/>
  <c r="BJ10" i="78" s="1"/>
  <c r="BP10" i="78" s="1"/>
  <c r="W10" i="78"/>
  <c r="V10" i="78"/>
  <c r="S10" i="78"/>
  <c r="T10" i="78" s="1"/>
  <c r="O10" i="78"/>
  <c r="L10" i="78"/>
  <c r="K10" i="78"/>
  <c r="I10" i="78"/>
  <c r="E10" i="78"/>
  <c r="D10" i="78"/>
  <c r="G10" i="78" s="1"/>
  <c r="Q10" i="78" s="1"/>
  <c r="R10" i="78" s="1"/>
  <c r="CD9" i="78"/>
  <c r="BU9" i="78"/>
  <c r="BT9" i="78"/>
  <c r="BE9" i="78"/>
  <c r="BD9" i="78"/>
  <c r="BC9" i="78"/>
  <c r="AX9" i="78"/>
  <c r="AW9" i="78"/>
  <c r="AV9" i="78"/>
  <c r="AQ9" i="78"/>
  <c r="AP9" i="78"/>
  <c r="AO9" i="78"/>
  <c r="AJ9" i="78"/>
  <c r="BK9" i="78" s="1"/>
  <c r="BQ9" i="78" s="1"/>
  <c r="AI9" i="78"/>
  <c r="AH9" i="78"/>
  <c r="AC9" i="78"/>
  <c r="AB9" i="78"/>
  <c r="BI9" i="78" s="1"/>
  <c r="BO9" i="78" s="1"/>
  <c r="AA9" i="78"/>
  <c r="BJ9" i="78" s="1"/>
  <c r="BP9" i="78" s="1"/>
  <c r="W9" i="78"/>
  <c r="V9" i="78"/>
  <c r="T9" i="78"/>
  <c r="S9" i="78"/>
  <c r="O9" i="78"/>
  <c r="L9" i="78"/>
  <c r="K9" i="78"/>
  <c r="I9" i="78"/>
  <c r="E9" i="78"/>
  <c r="D9" i="78"/>
  <c r="G9" i="78" s="1"/>
  <c r="Q9" i="78" s="1"/>
  <c r="R9" i="78" s="1"/>
  <c r="CD8" i="78"/>
  <c r="BU8" i="78"/>
  <c r="BT8" i="78"/>
  <c r="BE8" i="78"/>
  <c r="BD8" i="78"/>
  <c r="BC8" i="78"/>
  <c r="AX8" i="78"/>
  <c r="AW8" i="78"/>
  <c r="AV8" i="78"/>
  <c r="AQ8" i="78"/>
  <c r="AP8" i="78"/>
  <c r="AO8" i="78"/>
  <c r="AJ8" i="78"/>
  <c r="AI8" i="78"/>
  <c r="AH8" i="78"/>
  <c r="AC8" i="78"/>
  <c r="BK8" i="78" s="1"/>
  <c r="BQ8" i="78" s="1"/>
  <c r="AB8" i="78"/>
  <c r="BI8" i="78" s="1"/>
  <c r="BO8" i="78" s="1"/>
  <c r="AA8" i="78"/>
  <c r="BH8" i="78" s="1"/>
  <c r="BN8" i="78" s="1"/>
  <c r="W8" i="78"/>
  <c r="V8" i="78"/>
  <c r="S8" i="78"/>
  <c r="T8" i="78" s="1"/>
  <c r="O8" i="78"/>
  <c r="L8" i="78"/>
  <c r="K8" i="78"/>
  <c r="I8" i="78"/>
  <c r="E8" i="78"/>
  <c r="D8" i="78"/>
  <c r="CD7" i="78"/>
  <c r="CD6" i="78"/>
  <c r="CD5" i="78"/>
  <c r="CD4" i="78"/>
  <c r="CD3" i="78"/>
  <c r="CD43" i="72"/>
  <c r="CD43" i="41"/>
  <c r="I9" i="77"/>
  <c r="I10" i="77"/>
  <c r="I11" i="77"/>
  <c r="I12" i="77"/>
  <c r="I13" i="77"/>
  <c r="I14" i="77"/>
  <c r="I15" i="77"/>
  <c r="I16" i="77"/>
  <c r="I17" i="77"/>
  <c r="I18" i="77"/>
  <c r="I19" i="77"/>
  <c r="I20" i="77"/>
  <c r="I21" i="77"/>
  <c r="I22" i="77"/>
  <c r="I23" i="77"/>
  <c r="I24" i="77"/>
  <c r="I25" i="77"/>
  <c r="I26" i="77"/>
  <c r="I27" i="77"/>
  <c r="I28" i="77"/>
  <c r="I29" i="77"/>
  <c r="I30" i="77"/>
  <c r="I31" i="77"/>
  <c r="I8" i="77"/>
  <c r="I9" i="76"/>
  <c r="I10" i="76"/>
  <c r="I11" i="76"/>
  <c r="I12" i="76"/>
  <c r="I13" i="76"/>
  <c r="I14" i="76"/>
  <c r="I15" i="76"/>
  <c r="I16" i="76"/>
  <c r="I17" i="76"/>
  <c r="I18" i="76"/>
  <c r="I19" i="76"/>
  <c r="I20" i="76"/>
  <c r="I21" i="76"/>
  <c r="I22" i="76"/>
  <c r="I23" i="76"/>
  <c r="I24" i="76"/>
  <c r="I25" i="76"/>
  <c r="I26" i="76"/>
  <c r="I27" i="76"/>
  <c r="I28" i="76"/>
  <c r="I29" i="76"/>
  <c r="I30" i="76"/>
  <c r="I31" i="76"/>
  <c r="I8" i="76"/>
  <c r="CJ31" i="67"/>
  <c r="CD31" i="67"/>
  <c r="BX31" i="67"/>
  <c r="BR31" i="67"/>
  <c r="BQ31" i="67"/>
  <c r="CJ30" i="67"/>
  <c r="CD30" i="67"/>
  <c r="BX30" i="67"/>
  <c r="BR30" i="67"/>
  <c r="BQ30" i="67"/>
  <c r="CJ29" i="67"/>
  <c r="CD29" i="67"/>
  <c r="BX29" i="67"/>
  <c r="BR29" i="67"/>
  <c r="BQ29" i="67"/>
  <c r="CJ28" i="67"/>
  <c r="CD28" i="67"/>
  <c r="BX28" i="67"/>
  <c r="BR28" i="67"/>
  <c r="BQ28" i="67"/>
  <c r="CJ27" i="67"/>
  <c r="CD27" i="67"/>
  <c r="BX27" i="67"/>
  <c r="BR27" i="67"/>
  <c r="BQ27" i="67"/>
  <c r="CJ26" i="67"/>
  <c r="CD26" i="67"/>
  <c r="BX26" i="67"/>
  <c r="BR26" i="67"/>
  <c r="BQ26" i="67"/>
  <c r="CJ25" i="67"/>
  <c r="CD25" i="67"/>
  <c r="BX25" i="67"/>
  <c r="BR25" i="67"/>
  <c r="BQ25" i="67"/>
  <c r="CJ24" i="67"/>
  <c r="CD24" i="67"/>
  <c r="BX24" i="67"/>
  <c r="BR24" i="67"/>
  <c r="BQ24" i="67"/>
  <c r="CJ23" i="67"/>
  <c r="CD23" i="67"/>
  <c r="BX23" i="67"/>
  <c r="BR23" i="67"/>
  <c r="BQ23" i="67"/>
  <c r="CJ22" i="67"/>
  <c r="CD22" i="67"/>
  <c r="BX22" i="67"/>
  <c r="BR22" i="67"/>
  <c r="BQ22" i="67"/>
  <c r="CJ21" i="67"/>
  <c r="CD21" i="67"/>
  <c r="BX21" i="67"/>
  <c r="BR21" i="67"/>
  <c r="BQ21" i="67"/>
  <c r="CJ20" i="67"/>
  <c r="CD20" i="67"/>
  <c r="BX20" i="67"/>
  <c r="BR20" i="67"/>
  <c r="BQ20" i="67"/>
  <c r="CJ19" i="67"/>
  <c r="CD19" i="67"/>
  <c r="BX19" i="67"/>
  <c r="BR19" i="67"/>
  <c r="BQ19" i="67"/>
  <c r="CJ18" i="67"/>
  <c r="CD18" i="67"/>
  <c r="BX18" i="67"/>
  <c r="BR18" i="67"/>
  <c r="BQ18" i="67"/>
  <c r="CJ17" i="67"/>
  <c r="CD17" i="67"/>
  <c r="BX17" i="67"/>
  <c r="BR17" i="67"/>
  <c r="BQ17" i="67"/>
  <c r="CJ16" i="67"/>
  <c r="CD16" i="67"/>
  <c r="BX16" i="67"/>
  <c r="BR16" i="67"/>
  <c r="BQ16" i="67"/>
  <c r="CJ15" i="67"/>
  <c r="CD15" i="67"/>
  <c r="BX15" i="67"/>
  <c r="BR15" i="67"/>
  <c r="BQ15" i="67"/>
  <c r="CJ14" i="67"/>
  <c r="CD14" i="67"/>
  <c r="BX14" i="67"/>
  <c r="BR14" i="67"/>
  <c r="BQ14" i="67"/>
  <c r="CJ13" i="67"/>
  <c r="CD13" i="67"/>
  <c r="BX13" i="67"/>
  <c r="BR13" i="67"/>
  <c r="BQ13" i="67"/>
  <c r="CJ12" i="67"/>
  <c r="CD12" i="67"/>
  <c r="BX12" i="67"/>
  <c r="BR12" i="67"/>
  <c r="BQ12" i="67"/>
  <c r="CJ11" i="67"/>
  <c r="CD11" i="67"/>
  <c r="BX11" i="67"/>
  <c r="BR11" i="67"/>
  <c r="BQ11" i="67"/>
  <c r="CJ10" i="67"/>
  <c r="CD10" i="67"/>
  <c r="BX10" i="67"/>
  <c r="BR10" i="67"/>
  <c r="BQ10" i="67"/>
  <c r="CJ9" i="67"/>
  <c r="CD9" i="67"/>
  <c r="BX9" i="67"/>
  <c r="BR9" i="67"/>
  <c r="BQ9" i="67"/>
  <c r="CJ8" i="67"/>
  <c r="CD8" i="67"/>
  <c r="BX8" i="67"/>
  <c r="BQ8" i="67"/>
  <c r="CJ31" i="74"/>
  <c r="CJ30" i="74"/>
  <c r="CJ29" i="74"/>
  <c r="CJ28" i="74"/>
  <c r="CJ27" i="74"/>
  <c r="CJ26" i="74"/>
  <c r="CJ25" i="74"/>
  <c r="CJ24" i="74"/>
  <c r="CJ23" i="74"/>
  <c r="CJ22" i="74"/>
  <c r="CJ21" i="74"/>
  <c r="CJ20" i="74"/>
  <c r="CJ19" i="74"/>
  <c r="CJ18" i="74"/>
  <c r="CJ17" i="74"/>
  <c r="CJ16" i="74"/>
  <c r="CJ15" i="74"/>
  <c r="CJ14" i="74"/>
  <c r="CJ13" i="74"/>
  <c r="CJ12" i="74"/>
  <c r="CJ11" i="74"/>
  <c r="CJ10" i="74"/>
  <c r="CJ9" i="74"/>
  <c r="CJ8" i="74"/>
  <c r="CD31" i="74"/>
  <c r="CD30" i="74"/>
  <c r="CD29" i="74"/>
  <c r="CD28" i="74"/>
  <c r="CD27" i="74"/>
  <c r="CD26" i="74"/>
  <c r="CD25" i="74"/>
  <c r="CD24" i="74"/>
  <c r="CD23" i="74"/>
  <c r="CD22" i="74"/>
  <c r="CD21" i="74"/>
  <c r="CD20" i="74"/>
  <c r="CD19" i="74"/>
  <c r="CD18" i="74"/>
  <c r="CD17" i="74"/>
  <c r="CD16" i="74"/>
  <c r="CD15" i="74"/>
  <c r="CD14" i="74"/>
  <c r="CD13" i="74"/>
  <c r="CD12" i="74"/>
  <c r="CD11" i="74"/>
  <c r="CD10" i="74"/>
  <c r="CD9" i="74"/>
  <c r="CD8" i="74"/>
  <c r="BQ32" i="80" l="1"/>
  <c r="BQ33" i="80" s="1"/>
  <c r="BK33" i="80" s="1"/>
  <c r="BJ8" i="80"/>
  <c r="BP8" i="80" s="1"/>
  <c r="BG9" i="80"/>
  <c r="BM9" i="80" s="1"/>
  <c r="BM32" i="80" s="1"/>
  <c r="BM33" i="80" s="1"/>
  <c r="BG33" i="80" s="1"/>
  <c r="BJ10" i="80"/>
  <c r="BP10" i="80" s="1"/>
  <c r="BG11" i="80"/>
  <c r="BM11" i="80" s="1"/>
  <c r="BJ12" i="80"/>
  <c r="BP12" i="80" s="1"/>
  <c r="BG13" i="80"/>
  <c r="BM13" i="80" s="1"/>
  <c r="BJ14" i="80"/>
  <c r="BP14" i="80" s="1"/>
  <c r="BG15" i="80"/>
  <c r="BM15" i="80" s="1"/>
  <c r="BJ16" i="80"/>
  <c r="BP16" i="80" s="1"/>
  <c r="BG17" i="80"/>
  <c r="BM17" i="80" s="1"/>
  <c r="BJ18" i="80"/>
  <c r="BP18" i="80" s="1"/>
  <c r="BG19" i="80"/>
  <c r="BM19" i="80" s="1"/>
  <c r="BJ20" i="80"/>
  <c r="BP20" i="80" s="1"/>
  <c r="BG21" i="80"/>
  <c r="BM21" i="80" s="1"/>
  <c r="BH21" i="80"/>
  <c r="BN21" i="80" s="1"/>
  <c r="BG22" i="80"/>
  <c r="BM22" i="80" s="1"/>
  <c r="BG23" i="80"/>
  <c r="BM23" i="80" s="1"/>
  <c r="BH23" i="80"/>
  <c r="BN23" i="80" s="1"/>
  <c r="BG24" i="80"/>
  <c r="BM24" i="80" s="1"/>
  <c r="T32" i="80"/>
  <c r="BI8" i="80"/>
  <c r="BO8" i="80" s="1"/>
  <c r="BH8" i="80"/>
  <c r="BN8" i="80" s="1"/>
  <c r="BJ9" i="80"/>
  <c r="BP9" i="80" s="1"/>
  <c r="BI10" i="80"/>
  <c r="BO10" i="80" s="1"/>
  <c r="BH10" i="80"/>
  <c r="BN10" i="80" s="1"/>
  <c r="BJ11" i="80"/>
  <c r="BP11" i="80" s="1"/>
  <c r="BI12" i="80"/>
  <c r="BO12" i="80" s="1"/>
  <c r="BH12" i="80"/>
  <c r="BN12" i="80" s="1"/>
  <c r="BJ13" i="80"/>
  <c r="BP13" i="80" s="1"/>
  <c r="BI14" i="80"/>
  <c r="BO14" i="80" s="1"/>
  <c r="BH14" i="80"/>
  <c r="BN14" i="80" s="1"/>
  <c r="BJ15" i="80"/>
  <c r="BP15" i="80" s="1"/>
  <c r="BI16" i="80"/>
  <c r="BO16" i="80" s="1"/>
  <c r="BH16" i="80"/>
  <c r="BN16" i="80" s="1"/>
  <c r="BJ17" i="80"/>
  <c r="BP17" i="80" s="1"/>
  <c r="BI18" i="80"/>
  <c r="BO18" i="80" s="1"/>
  <c r="BH18" i="80"/>
  <c r="BN18" i="80" s="1"/>
  <c r="BJ19" i="80"/>
  <c r="BP19" i="80" s="1"/>
  <c r="BI20" i="80"/>
  <c r="BO20" i="80" s="1"/>
  <c r="BH20" i="80"/>
  <c r="BN20" i="80" s="1"/>
  <c r="BJ21" i="80"/>
  <c r="BP21" i="80" s="1"/>
  <c r="BJ23" i="80"/>
  <c r="BP23" i="80" s="1"/>
  <c r="BJ25" i="80"/>
  <c r="BP25" i="80" s="1"/>
  <c r="BG26" i="80"/>
  <c r="BM26" i="80" s="1"/>
  <c r="BJ27" i="80"/>
  <c r="BP27" i="80" s="1"/>
  <c r="BG28" i="80"/>
  <c r="BM28" i="80" s="1"/>
  <c r="BJ29" i="80"/>
  <c r="BP29" i="80" s="1"/>
  <c r="BG30" i="80"/>
  <c r="BM30" i="80" s="1"/>
  <c r="BJ31" i="80"/>
  <c r="BP31" i="80" s="1"/>
  <c r="BH9" i="80"/>
  <c r="BN9" i="80" s="1"/>
  <c r="BH11" i="80"/>
  <c r="BN11" i="80" s="1"/>
  <c r="BH13" i="80"/>
  <c r="BN13" i="80" s="1"/>
  <c r="BH15" i="80"/>
  <c r="BN15" i="80" s="1"/>
  <c r="BH17" i="80"/>
  <c r="BN17" i="80" s="1"/>
  <c r="BH19" i="80"/>
  <c r="BN19" i="80" s="1"/>
  <c r="BI21" i="80"/>
  <c r="BO21" i="80" s="1"/>
  <c r="BJ22" i="80"/>
  <c r="BP22" i="80" s="1"/>
  <c r="BI23" i="80"/>
  <c r="BO23" i="80" s="1"/>
  <c r="BJ24" i="80"/>
  <c r="BP24" i="80" s="1"/>
  <c r="BI25" i="80"/>
  <c r="BO25" i="80" s="1"/>
  <c r="BH25" i="80"/>
  <c r="BN25" i="80" s="1"/>
  <c r="BJ26" i="80"/>
  <c r="BP26" i="80" s="1"/>
  <c r="BI27" i="80"/>
  <c r="BO27" i="80" s="1"/>
  <c r="BH27" i="80"/>
  <c r="BN27" i="80" s="1"/>
  <c r="BJ28" i="80"/>
  <c r="BP28" i="80" s="1"/>
  <c r="BI29" i="80"/>
  <c r="BO29" i="80" s="1"/>
  <c r="BH29" i="80"/>
  <c r="BN29" i="80" s="1"/>
  <c r="BJ30" i="80"/>
  <c r="BP30" i="80" s="1"/>
  <c r="BI31" i="80"/>
  <c r="BO31" i="80" s="1"/>
  <c r="BH31" i="80"/>
  <c r="BN31" i="80" s="1"/>
  <c r="BH22" i="80"/>
  <c r="BN22" i="80" s="1"/>
  <c r="BH24" i="80"/>
  <c r="BN24" i="80" s="1"/>
  <c r="BH26" i="80"/>
  <c r="BN26" i="80" s="1"/>
  <c r="BH28" i="80"/>
  <c r="BN28" i="80" s="1"/>
  <c r="BH30" i="80"/>
  <c r="BN30" i="80" s="1"/>
  <c r="BJ8" i="79"/>
  <c r="BP8" i="79" s="1"/>
  <c r="BJ12" i="79"/>
  <c r="BP12" i="79" s="1"/>
  <c r="BG13" i="79"/>
  <c r="BM13" i="79" s="1"/>
  <c r="BJ16" i="79"/>
  <c r="BP16" i="79" s="1"/>
  <c r="BJ18" i="79"/>
  <c r="BP18" i="79" s="1"/>
  <c r="BG22" i="79"/>
  <c r="BM22" i="79" s="1"/>
  <c r="BG24" i="79"/>
  <c r="BM24" i="79" s="1"/>
  <c r="BG9" i="79"/>
  <c r="BM9" i="79" s="1"/>
  <c r="BM32" i="79" s="1"/>
  <c r="BM33" i="79" s="1"/>
  <c r="BG33" i="79" s="1"/>
  <c r="BJ10" i="79"/>
  <c r="BP10" i="79" s="1"/>
  <c r="BG11" i="79"/>
  <c r="BM11" i="79" s="1"/>
  <c r="BJ14" i="79"/>
  <c r="BP14" i="79" s="1"/>
  <c r="BG15" i="79"/>
  <c r="BM15" i="79" s="1"/>
  <c r="BG17" i="79"/>
  <c r="BM17" i="79" s="1"/>
  <c r="BG19" i="79"/>
  <c r="BM19" i="79" s="1"/>
  <c r="BJ20" i="79"/>
  <c r="BP20" i="79" s="1"/>
  <c r="BG21" i="79"/>
  <c r="BM21" i="79" s="1"/>
  <c r="BH21" i="79"/>
  <c r="BN21" i="79" s="1"/>
  <c r="BG23" i="79"/>
  <c r="BM23" i="79" s="1"/>
  <c r="BH23" i="79"/>
  <c r="BN23" i="79" s="1"/>
  <c r="T32" i="79"/>
  <c r="BI8" i="79"/>
  <c r="BO8" i="79" s="1"/>
  <c r="BH8" i="79"/>
  <c r="BN8" i="79" s="1"/>
  <c r="BJ9" i="79"/>
  <c r="BP9" i="79" s="1"/>
  <c r="BI10" i="79"/>
  <c r="BO10" i="79" s="1"/>
  <c r="BH10" i="79"/>
  <c r="BN10" i="79" s="1"/>
  <c r="BJ11" i="79"/>
  <c r="BP11" i="79" s="1"/>
  <c r="BI12" i="79"/>
  <c r="BO12" i="79" s="1"/>
  <c r="BH12" i="79"/>
  <c r="BN12" i="79" s="1"/>
  <c r="BJ13" i="79"/>
  <c r="BP13" i="79" s="1"/>
  <c r="BI14" i="79"/>
  <c r="BO14" i="79" s="1"/>
  <c r="BH14" i="79"/>
  <c r="BN14" i="79" s="1"/>
  <c r="BJ15" i="79"/>
  <c r="BP15" i="79" s="1"/>
  <c r="BI16" i="79"/>
  <c r="BO16" i="79" s="1"/>
  <c r="BH16" i="79"/>
  <c r="BN16" i="79" s="1"/>
  <c r="BJ17" i="79"/>
  <c r="BP17" i="79" s="1"/>
  <c r="BI18" i="79"/>
  <c r="BO18" i="79" s="1"/>
  <c r="BH18" i="79"/>
  <c r="BN18" i="79" s="1"/>
  <c r="BJ19" i="79"/>
  <c r="BP19" i="79" s="1"/>
  <c r="BI20" i="79"/>
  <c r="BO20" i="79" s="1"/>
  <c r="BH20" i="79"/>
  <c r="BN20" i="79" s="1"/>
  <c r="BJ21" i="79"/>
  <c r="BP21" i="79" s="1"/>
  <c r="BJ23" i="79"/>
  <c r="BP23" i="79" s="1"/>
  <c r="BJ25" i="79"/>
  <c r="BP25" i="79" s="1"/>
  <c r="BG26" i="79"/>
  <c r="BM26" i="79" s="1"/>
  <c r="BJ27" i="79"/>
  <c r="BP27" i="79" s="1"/>
  <c r="BG28" i="79"/>
  <c r="BM28" i="79" s="1"/>
  <c r="BJ29" i="79"/>
  <c r="BP29" i="79" s="1"/>
  <c r="BG30" i="79"/>
  <c r="BM30" i="79" s="1"/>
  <c r="BJ31" i="79"/>
  <c r="BP31" i="79" s="1"/>
  <c r="BH9" i="79"/>
  <c r="BN9" i="79" s="1"/>
  <c r="BH11" i="79"/>
  <c r="BN11" i="79" s="1"/>
  <c r="BH13" i="79"/>
  <c r="BN13" i="79" s="1"/>
  <c r="BH15" i="79"/>
  <c r="BN15" i="79" s="1"/>
  <c r="BH17" i="79"/>
  <c r="BN17" i="79" s="1"/>
  <c r="BH19" i="79"/>
  <c r="BN19" i="79" s="1"/>
  <c r="BI21" i="79"/>
  <c r="BO21" i="79" s="1"/>
  <c r="BJ22" i="79"/>
  <c r="BP22" i="79" s="1"/>
  <c r="BI23" i="79"/>
  <c r="BO23" i="79" s="1"/>
  <c r="BJ24" i="79"/>
  <c r="BP24" i="79" s="1"/>
  <c r="BI25" i="79"/>
  <c r="BO25" i="79" s="1"/>
  <c r="BH25" i="79"/>
  <c r="BN25" i="79" s="1"/>
  <c r="BJ26" i="79"/>
  <c r="BP26" i="79" s="1"/>
  <c r="BI27" i="79"/>
  <c r="BO27" i="79" s="1"/>
  <c r="BH27" i="79"/>
  <c r="BN27" i="79" s="1"/>
  <c r="BJ28" i="79"/>
  <c r="BP28" i="79" s="1"/>
  <c r="BI29" i="79"/>
  <c r="BO29" i="79" s="1"/>
  <c r="BH29" i="79"/>
  <c r="BN29" i="79" s="1"/>
  <c r="BJ30" i="79"/>
  <c r="BP30" i="79" s="1"/>
  <c r="BI31" i="79"/>
  <c r="BO31" i="79" s="1"/>
  <c r="BH31" i="79"/>
  <c r="BN31" i="79" s="1"/>
  <c r="BH22" i="79"/>
  <c r="BN22" i="79" s="1"/>
  <c r="BH24" i="79"/>
  <c r="BN24" i="79" s="1"/>
  <c r="BH26" i="79"/>
  <c r="BN26" i="79" s="1"/>
  <c r="BH28" i="79"/>
  <c r="BN28" i="79" s="1"/>
  <c r="BH30" i="79"/>
  <c r="BN30" i="79" s="1"/>
  <c r="T32" i="78"/>
  <c r="BQ32" i="78"/>
  <c r="G8" i="78"/>
  <c r="Q8" i="78" s="1"/>
  <c r="R8" i="78" s="1"/>
  <c r="BJ8" i="78"/>
  <c r="BP8" i="78" s="1"/>
  <c r="BG9" i="78"/>
  <c r="BM9" i="78" s="1"/>
  <c r="BG8" i="78"/>
  <c r="BM8" i="78" s="1"/>
  <c r="BH9" i="78"/>
  <c r="BN9" i="78" s="1"/>
  <c r="BG10" i="78"/>
  <c r="BM10" i="78" s="1"/>
  <c r="BH11" i="78"/>
  <c r="BN11" i="78" s="1"/>
  <c r="BG12" i="78"/>
  <c r="BM12" i="78" s="1"/>
  <c r="BH13" i="78"/>
  <c r="BN13" i="78" s="1"/>
  <c r="BI14" i="78"/>
  <c r="BO14" i="78" s="1"/>
  <c r="BH14" i="78"/>
  <c r="BN14" i="78" s="1"/>
  <c r="BJ15" i="78"/>
  <c r="BP15" i="78" s="1"/>
  <c r="BI15" i="78"/>
  <c r="BO15" i="78" s="1"/>
  <c r="BH10" i="78"/>
  <c r="BN10" i="78" s="1"/>
  <c r="BG11" i="78"/>
  <c r="BM11" i="78" s="1"/>
  <c r="BH12" i="78"/>
  <c r="BN12" i="78" s="1"/>
  <c r="BG13" i="78"/>
  <c r="BM13" i="78" s="1"/>
  <c r="BJ14" i="78"/>
  <c r="BP14" i="78" s="1"/>
  <c r="BG16" i="78"/>
  <c r="BM16" i="78" s="1"/>
  <c r="BJ16" i="78"/>
  <c r="BP16" i="78" s="1"/>
  <c r="BH16" i="78"/>
  <c r="BN16" i="78" s="1"/>
  <c r="BG17" i="78"/>
  <c r="BM17" i="78" s="1"/>
  <c r="BH18" i="78"/>
  <c r="BN18" i="78" s="1"/>
  <c r="BJ18" i="78"/>
  <c r="BP18" i="78" s="1"/>
  <c r="BG19" i="78"/>
  <c r="BM19" i="78" s="1"/>
  <c r="BH20" i="78"/>
  <c r="BN20" i="78" s="1"/>
  <c r="BJ20" i="78"/>
  <c r="BP20" i="78" s="1"/>
  <c r="BG21" i="78"/>
  <c r="BM21" i="78" s="1"/>
  <c r="BJ22" i="78"/>
  <c r="BP22" i="78" s="1"/>
  <c r="BG23" i="78"/>
  <c r="BM23" i="78" s="1"/>
  <c r="BJ24" i="78"/>
  <c r="BP24" i="78" s="1"/>
  <c r="BG25" i="78"/>
  <c r="BM25" i="78" s="1"/>
  <c r="BJ26" i="78"/>
  <c r="BP26" i="78" s="1"/>
  <c r="G28" i="78"/>
  <c r="Q28" i="78" s="1"/>
  <c r="R28" i="78" s="1"/>
  <c r="BJ28" i="78"/>
  <c r="BP28" i="78" s="1"/>
  <c r="G30" i="78"/>
  <c r="Q30" i="78" s="1"/>
  <c r="R30" i="78" s="1"/>
  <c r="BJ30" i="78"/>
  <c r="BP30" i="78" s="1"/>
  <c r="BH15" i="78"/>
  <c r="BN15" i="78" s="1"/>
  <c r="BH17" i="78"/>
  <c r="BN17" i="78" s="1"/>
  <c r="BH19" i="78"/>
  <c r="BN19" i="78" s="1"/>
  <c r="BJ21" i="78"/>
  <c r="BP21" i="78" s="1"/>
  <c r="BI22" i="78"/>
  <c r="BO22" i="78" s="1"/>
  <c r="BH22" i="78"/>
  <c r="BN22" i="78" s="1"/>
  <c r="BJ23" i="78"/>
  <c r="BP23" i="78" s="1"/>
  <c r="BI24" i="78"/>
  <c r="BO24" i="78" s="1"/>
  <c r="BH24" i="78"/>
  <c r="BN24" i="78" s="1"/>
  <c r="BJ25" i="78"/>
  <c r="BP25" i="78" s="1"/>
  <c r="BI26" i="78"/>
  <c r="BO26" i="78" s="1"/>
  <c r="BH26" i="78"/>
  <c r="BN26" i="78" s="1"/>
  <c r="BH21" i="78"/>
  <c r="BN21" i="78" s="1"/>
  <c r="BH23" i="78"/>
  <c r="BN23" i="78" s="1"/>
  <c r="BH25" i="78"/>
  <c r="BN25" i="78" s="1"/>
  <c r="BH27" i="78"/>
  <c r="BN27" i="78" s="1"/>
  <c r="BH29" i="78"/>
  <c r="BN29" i="78" s="1"/>
  <c r="BH31" i="78"/>
  <c r="BN31" i="78" s="1"/>
  <c r="B41" i="52"/>
  <c r="C37" i="53"/>
  <c r="BQ33" i="78" l="1"/>
  <c r="BK33" i="78" s="1"/>
  <c r="BN32" i="80"/>
  <c r="BN33" i="80" s="1"/>
  <c r="BH33" i="80" s="1"/>
  <c r="BO32" i="80"/>
  <c r="BO33" i="80" s="1"/>
  <c r="BI33" i="80" s="1"/>
  <c r="BP32" i="80"/>
  <c r="BP33" i="80" s="1"/>
  <c r="BJ33" i="80" s="1"/>
  <c r="BO32" i="79"/>
  <c r="BO33" i="79" s="1"/>
  <c r="BI33" i="79" s="1"/>
  <c r="BP32" i="79"/>
  <c r="BP33" i="79" s="1"/>
  <c r="BJ33" i="79" s="1"/>
  <c r="BN32" i="79"/>
  <c r="BN33" i="79" s="1"/>
  <c r="BH33" i="79" s="1"/>
  <c r="BO32" i="78"/>
  <c r="BN32" i="78"/>
  <c r="R32" i="78"/>
  <c r="BM32" i="78"/>
  <c r="BP32" i="78"/>
  <c r="BX31" i="74"/>
  <c r="BR31" i="74"/>
  <c r="BQ31" i="74"/>
  <c r="BX30" i="74"/>
  <c r="BR30" i="74"/>
  <c r="BQ30" i="74"/>
  <c r="BX29" i="74"/>
  <c r="BR29" i="74"/>
  <c r="BQ29" i="74"/>
  <c r="BX28" i="74"/>
  <c r="BR28" i="74"/>
  <c r="BQ28" i="74"/>
  <c r="BX27" i="74"/>
  <c r="BR27" i="74"/>
  <c r="BQ27" i="74"/>
  <c r="BX26" i="74"/>
  <c r="BR26" i="74"/>
  <c r="BQ26" i="74"/>
  <c r="BX25" i="74"/>
  <c r="BR25" i="74"/>
  <c r="BQ25" i="74"/>
  <c r="BX24" i="74"/>
  <c r="BR24" i="74"/>
  <c r="BQ24" i="74"/>
  <c r="BX23" i="74"/>
  <c r="BR23" i="74"/>
  <c r="BQ23" i="74"/>
  <c r="BX22" i="74"/>
  <c r="BR22" i="74"/>
  <c r="BQ22" i="74"/>
  <c r="BX21" i="74"/>
  <c r="BR21" i="74"/>
  <c r="BQ21" i="74"/>
  <c r="BX20" i="74"/>
  <c r="BR20" i="74"/>
  <c r="BQ20" i="74"/>
  <c r="BX19" i="74"/>
  <c r="BR19" i="74"/>
  <c r="BQ19" i="74"/>
  <c r="BX18" i="74"/>
  <c r="BR18" i="74"/>
  <c r="BQ18" i="74"/>
  <c r="BX17" i="74"/>
  <c r="BR17" i="74"/>
  <c r="BQ17" i="74"/>
  <c r="BX16" i="74"/>
  <c r="BR16" i="74"/>
  <c r="BQ16" i="74"/>
  <c r="BX15" i="74"/>
  <c r="BR15" i="74"/>
  <c r="BQ15" i="74"/>
  <c r="BX14" i="74"/>
  <c r="BR14" i="74"/>
  <c r="BQ14" i="74"/>
  <c r="BX13" i="74"/>
  <c r="BR13" i="74"/>
  <c r="BQ13" i="74"/>
  <c r="BX12" i="74"/>
  <c r="BR12" i="74"/>
  <c r="BQ12" i="74"/>
  <c r="BX11" i="74"/>
  <c r="BR11" i="74"/>
  <c r="BQ11" i="74"/>
  <c r="BX10" i="74"/>
  <c r="BR10" i="74"/>
  <c r="BQ10" i="74"/>
  <c r="BX9" i="74"/>
  <c r="BR9" i="74"/>
  <c r="BQ9" i="74"/>
  <c r="BX8" i="74"/>
  <c r="BR8" i="74"/>
  <c r="BQ8" i="74"/>
  <c r="BN33" i="78" l="1"/>
  <c r="BH33" i="78" s="1"/>
  <c r="BO33" i="78"/>
  <c r="BI33" i="78" s="1"/>
  <c r="BM33" i="78"/>
  <c r="BG33" i="78" s="1"/>
  <c r="BP33" i="78"/>
  <c r="BJ33" i="78" s="1"/>
  <c r="B32" i="77"/>
  <c r="C23" i="65" s="1"/>
  <c r="AM31" i="77"/>
  <c r="AL31" i="77"/>
  <c r="AK31" i="77"/>
  <c r="AF31" i="77"/>
  <c r="AE31" i="77"/>
  <c r="AD31" i="77"/>
  <c r="Y31" i="77"/>
  <c r="X31" i="77"/>
  <c r="W31" i="77"/>
  <c r="S31" i="77"/>
  <c r="R31" i="77"/>
  <c r="O31" i="77"/>
  <c r="P31" i="77" s="1"/>
  <c r="K31" i="77"/>
  <c r="M31" i="77" s="1"/>
  <c r="E31" i="77"/>
  <c r="D31" i="77"/>
  <c r="F31" i="77" s="1"/>
  <c r="AM30" i="77"/>
  <c r="AL30" i="77"/>
  <c r="AK30" i="77"/>
  <c r="AF30" i="77"/>
  <c r="AE30" i="77"/>
  <c r="AD30" i="77"/>
  <c r="Y30" i="77"/>
  <c r="X30" i="77"/>
  <c r="W30" i="77"/>
  <c r="S30" i="77"/>
  <c r="R30" i="77"/>
  <c r="O30" i="77"/>
  <c r="P30" i="77" s="1"/>
  <c r="K30" i="77"/>
  <c r="M30" i="77" s="1"/>
  <c r="E30" i="77"/>
  <c r="D30" i="77"/>
  <c r="AM29" i="77"/>
  <c r="AL29" i="77"/>
  <c r="AK29" i="77"/>
  <c r="AF29" i="77"/>
  <c r="AE29" i="77"/>
  <c r="AD29" i="77"/>
  <c r="Y29" i="77"/>
  <c r="X29" i="77"/>
  <c r="W29" i="77"/>
  <c r="S29" i="77"/>
  <c r="R29" i="77"/>
  <c r="O29" i="77"/>
  <c r="P29" i="77" s="1"/>
  <c r="N29" i="77"/>
  <c r="K29" i="77"/>
  <c r="M29" i="77" s="1"/>
  <c r="E29" i="77"/>
  <c r="D29" i="77"/>
  <c r="AM28" i="77"/>
  <c r="AL28" i="77"/>
  <c r="AK28" i="77"/>
  <c r="AF28" i="77"/>
  <c r="AE28" i="77"/>
  <c r="AD28" i="77"/>
  <c r="Y28" i="77"/>
  <c r="X28" i="77"/>
  <c r="W28" i="77"/>
  <c r="S28" i="77"/>
  <c r="R28" i="77"/>
  <c r="O28" i="77"/>
  <c r="P28" i="77" s="1"/>
  <c r="N28" i="77"/>
  <c r="K28" i="77"/>
  <c r="M28" i="77" s="1"/>
  <c r="E28" i="77"/>
  <c r="D28" i="77"/>
  <c r="AM27" i="77"/>
  <c r="AL27" i="77"/>
  <c r="AK27" i="77"/>
  <c r="AF27" i="77"/>
  <c r="AE27" i="77"/>
  <c r="AD27" i="77"/>
  <c r="Y27" i="77"/>
  <c r="X27" i="77"/>
  <c r="W27" i="77"/>
  <c r="S27" i="77"/>
  <c r="R27" i="77"/>
  <c r="O27" i="77"/>
  <c r="P27" i="77" s="1"/>
  <c r="N27" i="77"/>
  <c r="K27" i="77"/>
  <c r="M27" i="77" s="1"/>
  <c r="E27" i="77"/>
  <c r="D27" i="77"/>
  <c r="AM26" i="77"/>
  <c r="AL26" i="77"/>
  <c r="AK26" i="77"/>
  <c r="AF26" i="77"/>
  <c r="AE26" i="77"/>
  <c r="AD26" i="77"/>
  <c r="Y26" i="77"/>
  <c r="X26" i="77"/>
  <c r="W26" i="77"/>
  <c r="S26" i="77"/>
  <c r="R26" i="77"/>
  <c r="O26" i="77"/>
  <c r="P26" i="77" s="1"/>
  <c r="K26" i="77"/>
  <c r="M26" i="77" s="1"/>
  <c r="E26" i="77"/>
  <c r="D26" i="77"/>
  <c r="F26" i="77" s="1"/>
  <c r="AM25" i="77"/>
  <c r="AL25" i="77"/>
  <c r="AK25" i="77"/>
  <c r="AF25" i="77"/>
  <c r="AE25" i="77"/>
  <c r="AD25" i="77"/>
  <c r="Y25" i="77"/>
  <c r="X25" i="77"/>
  <c r="W25" i="77"/>
  <c r="S25" i="77"/>
  <c r="R25" i="77"/>
  <c r="O25" i="77"/>
  <c r="P25" i="77" s="1"/>
  <c r="K25" i="77"/>
  <c r="E25" i="77"/>
  <c r="D25" i="77"/>
  <c r="AM24" i="77"/>
  <c r="AL24" i="77"/>
  <c r="AK24" i="77"/>
  <c r="AF24" i="77"/>
  <c r="AE24" i="77"/>
  <c r="AD24" i="77"/>
  <c r="Y24" i="77"/>
  <c r="X24" i="77"/>
  <c r="W24" i="77"/>
  <c r="S24" i="77"/>
  <c r="R24" i="77"/>
  <c r="O24" i="77"/>
  <c r="P24" i="77" s="1"/>
  <c r="K24" i="77"/>
  <c r="E24" i="77"/>
  <c r="D24" i="77"/>
  <c r="F24" i="77" s="1"/>
  <c r="AM23" i="77"/>
  <c r="AL23" i="77"/>
  <c r="AK23" i="77"/>
  <c r="AF23" i="77"/>
  <c r="AE23" i="77"/>
  <c r="AD23" i="77"/>
  <c r="Y23" i="77"/>
  <c r="X23" i="77"/>
  <c r="W23" i="77"/>
  <c r="S23" i="77"/>
  <c r="R23" i="77"/>
  <c r="O23" i="77"/>
  <c r="P23" i="77" s="1"/>
  <c r="K23" i="77"/>
  <c r="E23" i="77"/>
  <c r="D23" i="77"/>
  <c r="AM22" i="77"/>
  <c r="AL22" i="77"/>
  <c r="AK22" i="77"/>
  <c r="AF22" i="77"/>
  <c r="AE22" i="77"/>
  <c r="AD22" i="77"/>
  <c r="Y22" i="77"/>
  <c r="X22" i="77"/>
  <c r="W22" i="77"/>
  <c r="S22" i="77"/>
  <c r="R22" i="77"/>
  <c r="O22" i="77"/>
  <c r="P22" i="77" s="1"/>
  <c r="K22" i="77"/>
  <c r="M22" i="77" s="1"/>
  <c r="E22" i="77"/>
  <c r="D22" i="77"/>
  <c r="F22" i="77" s="1"/>
  <c r="AM21" i="77"/>
  <c r="AL21" i="77"/>
  <c r="AK21" i="77"/>
  <c r="AF21" i="77"/>
  <c r="AE21" i="77"/>
  <c r="AD21" i="77"/>
  <c r="Y21" i="77"/>
  <c r="X21" i="77"/>
  <c r="W21" i="77"/>
  <c r="S21" i="77"/>
  <c r="R21" i="77"/>
  <c r="O21" i="77"/>
  <c r="P21" i="77" s="1"/>
  <c r="K21" i="77"/>
  <c r="M21" i="77" s="1"/>
  <c r="E21" i="77"/>
  <c r="D21" i="77"/>
  <c r="AM20" i="77"/>
  <c r="AL20" i="77"/>
  <c r="AK20" i="77"/>
  <c r="AF20" i="77"/>
  <c r="AE20" i="77"/>
  <c r="AD20" i="77"/>
  <c r="Y20" i="77"/>
  <c r="X20" i="77"/>
  <c r="W20" i="77"/>
  <c r="S20" i="77"/>
  <c r="R20" i="77"/>
  <c r="O20" i="77"/>
  <c r="P20" i="77" s="1"/>
  <c r="K20" i="77"/>
  <c r="M20" i="77" s="1"/>
  <c r="E20" i="77"/>
  <c r="D20" i="77"/>
  <c r="F20" i="77" s="1"/>
  <c r="AM19" i="77"/>
  <c r="AL19" i="77"/>
  <c r="AK19" i="77"/>
  <c r="AF19" i="77"/>
  <c r="AE19" i="77"/>
  <c r="AD19" i="77"/>
  <c r="Y19" i="77"/>
  <c r="X19" i="77"/>
  <c r="W19" i="77"/>
  <c r="S19" i="77"/>
  <c r="R19" i="77"/>
  <c r="O19" i="77"/>
  <c r="P19" i="77" s="1"/>
  <c r="E19" i="77"/>
  <c r="D19" i="77"/>
  <c r="F19" i="77" s="1"/>
  <c r="AM18" i="77"/>
  <c r="AL18" i="77"/>
  <c r="AK18" i="77"/>
  <c r="AF18" i="77"/>
  <c r="AE18" i="77"/>
  <c r="AD18" i="77"/>
  <c r="Y18" i="77"/>
  <c r="X18" i="77"/>
  <c r="W18" i="77"/>
  <c r="S18" i="77"/>
  <c r="R18" i="77"/>
  <c r="O18" i="77"/>
  <c r="P18" i="77" s="1"/>
  <c r="K18" i="77"/>
  <c r="M18" i="77" s="1"/>
  <c r="E18" i="77"/>
  <c r="D18" i="77"/>
  <c r="AM17" i="77"/>
  <c r="AL17" i="77"/>
  <c r="AK17" i="77"/>
  <c r="AF17" i="77"/>
  <c r="AE17" i="77"/>
  <c r="AD17" i="77"/>
  <c r="Y17" i="77"/>
  <c r="X17" i="77"/>
  <c r="W17" i="77"/>
  <c r="S17" i="77"/>
  <c r="R17" i="77"/>
  <c r="O17" i="77"/>
  <c r="P17" i="77" s="1"/>
  <c r="E17" i="77"/>
  <c r="D17" i="77"/>
  <c r="AM16" i="77"/>
  <c r="AL16" i="77"/>
  <c r="AK16" i="77"/>
  <c r="AF16" i="77"/>
  <c r="AE16" i="77"/>
  <c r="AD16" i="77"/>
  <c r="Y16" i="77"/>
  <c r="X16" i="77"/>
  <c r="W16" i="77"/>
  <c r="S16" i="77"/>
  <c r="R16" i="77"/>
  <c r="O16" i="77"/>
  <c r="P16" i="77" s="1"/>
  <c r="K16" i="77"/>
  <c r="M16" i="77" s="1"/>
  <c r="E16" i="77"/>
  <c r="D16" i="77"/>
  <c r="F16" i="77" s="1"/>
  <c r="AM15" i="77"/>
  <c r="AL15" i="77"/>
  <c r="AK15" i="77"/>
  <c r="AF15" i="77"/>
  <c r="AE15" i="77"/>
  <c r="AD15" i="77"/>
  <c r="Y15" i="77"/>
  <c r="X15" i="77"/>
  <c r="W15" i="77"/>
  <c r="S15" i="77"/>
  <c r="R15" i="77"/>
  <c r="O15" i="77"/>
  <c r="P15" i="77" s="1"/>
  <c r="E15" i="77"/>
  <c r="D15" i="77"/>
  <c r="F15" i="77" s="1"/>
  <c r="AM14" i="77"/>
  <c r="AL14" i="77"/>
  <c r="AK14" i="77"/>
  <c r="AF14" i="77"/>
  <c r="AE14" i="77"/>
  <c r="AD14" i="77"/>
  <c r="Y14" i="77"/>
  <c r="X14" i="77"/>
  <c r="W14" i="77"/>
  <c r="S14" i="77"/>
  <c r="R14" i="77"/>
  <c r="O14" i="77"/>
  <c r="P14" i="77" s="1"/>
  <c r="E14" i="77"/>
  <c r="D14" i="77"/>
  <c r="F14" i="77" s="1"/>
  <c r="AM13" i="77"/>
  <c r="AL13" i="77"/>
  <c r="AK13" i="77"/>
  <c r="AF13" i="77"/>
  <c r="AE13" i="77"/>
  <c r="AD13" i="77"/>
  <c r="Y13" i="77"/>
  <c r="X13" i="77"/>
  <c r="W13" i="77"/>
  <c r="S13" i="77"/>
  <c r="R13" i="77"/>
  <c r="O13" i="77"/>
  <c r="P13" i="77" s="1"/>
  <c r="K13" i="77"/>
  <c r="M13" i="77" s="1"/>
  <c r="E13" i="77"/>
  <c r="D13" i="77"/>
  <c r="AM12" i="77"/>
  <c r="AL12" i="77"/>
  <c r="AK12" i="77"/>
  <c r="AF12" i="77"/>
  <c r="AE12" i="77"/>
  <c r="AD12" i="77"/>
  <c r="Y12" i="77"/>
  <c r="X12" i="77"/>
  <c r="W12" i="77"/>
  <c r="S12" i="77"/>
  <c r="R12" i="77"/>
  <c r="O12" i="77"/>
  <c r="P12" i="77" s="1"/>
  <c r="E12" i="77"/>
  <c r="D12" i="77"/>
  <c r="AM11" i="77"/>
  <c r="AL11" i="77"/>
  <c r="AK11" i="77"/>
  <c r="AF11" i="77"/>
  <c r="AE11" i="77"/>
  <c r="AD11" i="77"/>
  <c r="Y11" i="77"/>
  <c r="X11" i="77"/>
  <c r="W11" i="77"/>
  <c r="S11" i="77"/>
  <c r="R11" i="77"/>
  <c r="O11" i="77"/>
  <c r="P11" i="77" s="1"/>
  <c r="K11" i="77"/>
  <c r="M11" i="77" s="1"/>
  <c r="E11" i="77"/>
  <c r="D11" i="77"/>
  <c r="F11" i="77" s="1"/>
  <c r="AM10" i="77"/>
  <c r="AL10" i="77"/>
  <c r="AK10" i="77"/>
  <c r="AF10" i="77"/>
  <c r="AE10" i="77"/>
  <c r="AD10" i="77"/>
  <c r="Y10" i="77"/>
  <c r="X10" i="77"/>
  <c r="W10" i="77"/>
  <c r="S10" i="77"/>
  <c r="R10" i="77"/>
  <c r="O10" i="77"/>
  <c r="P10" i="77" s="1"/>
  <c r="E10" i="77"/>
  <c r="D10" i="77"/>
  <c r="F10" i="77" s="1"/>
  <c r="AM9" i="77"/>
  <c r="AL9" i="77"/>
  <c r="AK9" i="77"/>
  <c r="AF9" i="77"/>
  <c r="AE9" i="77"/>
  <c r="AD9" i="77"/>
  <c r="Y9" i="77"/>
  <c r="X9" i="77"/>
  <c r="W9" i="77"/>
  <c r="S9" i="77"/>
  <c r="R9" i="77"/>
  <c r="O9" i="77"/>
  <c r="P9" i="77" s="1"/>
  <c r="E9" i="77"/>
  <c r="D9" i="77"/>
  <c r="F9" i="77" s="1"/>
  <c r="AM8" i="77"/>
  <c r="AL8" i="77"/>
  <c r="AK8" i="77"/>
  <c r="AF8" i="77"/>
  <c r="AE8" i="77"/>
  <c r="AD8" i="77"/>
  <c r="Y8" i="77"/>
  <c r="X8" i="77"/>
  <c r="W8" i="77"/>
  <c r="S8" i="77"/>
  <c r="R8" i="77"/>
  <c r="O8" i="77"/>
  <c r="P8" i="77" s="1"/>
  <c r="E8" i="77"/>
  <c r="D8" i="77"/>
  <c r="F8" i="77" s="1"/>
  <c r="C3" i="77"/>
  <c r="E2" i="77"/>
  <c r="C2" i="77"/>
  <c r="E1" i="77"/>
  <c r="C1" i="77"/>
  <c r="F12" i="77" l="1"/>
  <c r="F17" i="77"/>
  <c r="F23" i="77"/>
  <c r="F27" i="77"/>
  <c r="F28" i="77"/>
  <c r="F29" i="77"/>
  <c r="F30" i="77"/>
  <c r="F13" i="77"/>
  <c r="F18" i="77"/>
  <c r="F21" i="77"/>
  <c r="F25" i="77"/>
  <c r="M25" i="77"/>
  <c r="N25" i="77" s="1"/>
  <c r="M24" i="77"/>
  <c r="N24" i="77" s="1"/>
  <c r="M23" i="77"/>
  <c r="N23" i="77" s="1"/>
  <c r="N11" i="77"/>
  <c r="N13" i="77"/>
  <c r="K9" i="77"/>
  <c r="M9" i="77" s="1"/>
  <c r="K15" i="77"/>
  <c r="M15" i="77" s="1"/>
  <c r="K12" i="77"/>
  <c r="K17" i="77"/>
  <c r="M17" i="77" s="1"/>
  <c r="N20" i="77"/>
  <c r="N21" i="77"/>
  <c r="K10" i="77"/>
  <c r="M10" i="77" s="1"/>
  <c r="P32" i="77"/>
  <c r="E23" i="65" s="1"/>
  <c r="G23" i="65" s="1"/>
  <c r="K14" i="77"/>
  <c r="M14" i="77" s="1"/>
  <c r="N16" i="77"/>
  <c r="N31" i="77"/>
  <c r="AR8" i="77"/>
  <c r="AX8" i="77" s="1"/>
  <c r="AR10" i="77"/>
  <c r="AX10" i="77" s="1"/>
  <c r="AQ12" i="77"/>
  <c r="AW12" i="77" s="1"/>
  <c r="AT9" i="77"/>
  <c r="AZ9" i="77" s="1"/>
  <c r="AR18" i="77"/>
  <c r="AX18" i="77" s="1"/>
  <c r="AT10" i="77"/>
  <c r="AZ10" i="77" s="1"/>
  <c r="AS13" i="77"/>
  <c r="AY13" i="77" s="1"/>
  <c r="AQ15" i="77"/>
  <c r="AW15" i="77" s="1"/>
  <c r="AR15" i="77"/>
  <c r="AX15" i="77" s="1"/>
  <c r="AQ17" i="77"/>
  <c r="AW17" i="77" s="1"/>
  <c r="AT17" i="77"/>
  <c r="AZ17" i="77" s="1"/>
  <c r="AS18" i="77"/>
  <c r="AY18" i="77" s="1"/>
  <c r="AT8" i="77"/>
  <c r="AZ8" i="77" s="1"/>
  <c r="AQ11" i="77"/>
  <c r="AW11" i="77" s="1"/>
  <c r="AT14" i="77"/>
  <c r="AZ14" i="77" s="1"/>
  <c r="AR22" i="77"/>
  <c r="AX22" i="77" s="1"/>
  <c r="AP24" i="77"/>
  <c r="AV24" i="77" s="1"/>
  <c r="AP20" i="77"/>
  <c r="AV20" i="77" s="1"/>
  <c r="AR20" i="77"/>
  <c r="AX20" i="77" s="1"/>
  <c r="AR27" i="77"/>
  <c r="AX27" i="77" s="1"/>
  <c r="AP28" i="77"/>
  <c r="AV28" i="77" s="1"/>
  <c r="AQ9" i="77"/>
  <c r="AW9" i="77" s="1"/>
  <c r="AR9" i="77"/>
  <c r="AX9" i="77" s="1"/>
  <c r="AT11" i="77"/>
  <c r="AZ11" i="77" s="1"/>
  <c r="AR12" i="77"/>
  <c r="AX12" i="77" s="1"/>
  <c r="AT12" i="77"/>
  <c r="AZ12" i="77" s="1"/>
  <c r="AP13" i="77"/>
  <c r="AV13" i="77" s="1"/>
  <c r="AQ14" i="77"/>
  <c r="AW14" i="77" s="1"/>
  <c r="AS15" i="77"/>
  <c r="AY15" i="77" s="1"/>
  <c r="AR19" i="77"/>
  <c r="AX19" i="77" s="1"/>
  <c r="AQ20" i="77"/>
  <c r="AW20" i="77" s="1"/>
  <c r="AP21" i="77"/>
  <c r="AV21" i="77" s="1"/>
  <c r="AR23" i="77"/>
  <c r="AX23" i="77" s="1"/>
  <c r="AR24" i="77"/>
  <c r="AX24" i="77" s="1"/>
  <c r="AQ24" i="77"/>
  <c r="AW24" i="77" s="1"/>
  <c r="AP25" i="77"/>
  <c r="AV25" i="77" s="1"/>
  <c r="AR26" i="77"/>
  <c r="AX26" i="77" s="1"/>
  <c r="AR28" i="77"/>
  <c r="AX28" i="77" s="1"/>
  <c r="AQ28" i="77"/>
  <c r="AW28" i="77" s="1"/>
  <c r="AP29" i="77"/>
  <c r="AV29" i="77" s="1"/>
  <c r="AR30" i="77"/>
  <c r="AX30" i="77" s="1"/>
  <c r="AR31" i="77"/>
  <c r="AX31" i="77" s="1"/>
  <c r="AP9" i="77"/>
  <c r="AV9" i="77" s="1"/>
  <c r="AR11" i="77"/>
  <c r="AX11" i="77" s="1"/>
  <c r="AT13" i="77"/>
  <c r="AZ13" i="77" s="1"/>
  <c r="AR14" i="77"/>
  <c r="AX14" i="77" s="1"/>
  <c r="AP15" i="77"/>
  <c r="AV15" i="77" s="1"/>
  <c r="AQ16" i="77"/>
  <c r="AW16" i="77" s="1"/>
  <c r="AT18" i="77"/>
  <c r="AZ18" i="77" s="1"/>
  <c r="AQ18" i="77"/>
  <c r="AW18" i="77" s="1"/>
  <c r="AT19" i="77"/>
  <c r="AZ19" i="77" s="1"/>
  <c r="AS19" i="77"/>
  <c r="AY19" i="77" s="1"/>
  <c r="AT22" i="77"/>
  <c r="AZ22" i="77" s="1"/>
  <c r="AQ22" i="77"/>
  <c r="AW22" i="77" s="1"/>
  <c r="AT23" i="77"/>
  <c r="AZ23" i="77" s="1"/>
  <c r="AS23" i="77"/>
  <c r="AY23" i="77" s="1"/>
  <c r="AT26" i="77"/>
  <c r="AZ26" i="77" s="1"/>
  <c r="AQ26" i="77"/>
  <c r="AW26" i="77" s="1"/>
  <c r="AT27" i="77"/>
  <c r="AZ27" i="77" s="1"/>
  <c r="AS27" i="77"/>
  <c r="AY27" i="77" s="1"/>
  <c r="AT30" i="77"/>
  <c r="AZ30" i="77" s="1"/>
  <c r="AQ30" i="77"/>
  <c r="AW30" i="77" s="1"/>
  <c r="AT31" i="77"/>
  <c r="AZ31" i="77" s="1"/>
  <c r="AS31" i="77"/>
  <c r="AY31" i="77" s="1"/>
  <c r="AP8" i="77"/>
  <c r="AV8" i="77" s="1"/>
  <c r="AQ10" i="77"/>
  <c r="AW10" i="77" s="1"/>
  <c r="AP11" i="77"/>
  <c r="AV11" i="77" s="1"/>
  <c r="AQ13" i="77"/>
  <c r="AW13" i="77" s="1"/>
  <c r="AR13" i="77"/>
  <c r="AX13" i="77" s="1"/>
  <c r="AT15" i="77"/>
  <c r="AZ15" i="77" s="1"/>
  <c r="AR16" i="77"/>
  <c r="AX16" i="77" s="1"/>
  <c r="AT16" i="77"/>
  <c r="AZ16" i="77" s="1"/>
  <c r="AS8" i="77"/>
  <c r="AY8" i="77" s="1"/>
  <c r="AS10" i="77"/>
  <c r="AY10" i="77" s="1"/>
  <c r="AS12" i="77"/>
  <c r="AY12" i="77" s="1"/>
  <c r="AS14" i="77"/>
  <c r="AY14" i="77" s="1"/>
  <c r="AS16" i="77"/>
  <c r="AY16" i="77" s="1"/>
  <c r="AS17" i="77"/>
  <c r="AY17" i="77" s="1"/>
  <c r="AQ19" i="77"/>
  <c r="AW19" i="77" s="1"/>
  <c r="AS22" i="77"/>
  <c r="AY22" i="77" s="1"/>
  <c r="AQ23" i="77"/>
  <c r="AW23" i="77" s="1"/>
  <c r="AS26" i="77"/>
  <c r="AY26" i="77" s="1"/>
  <c r="AQ27" i="77"/>
  <c r="AW27" i="77" s="1"/>
  <c r="AS30" i="77"/>
  <c r="AY30" i="77" s="1"/>
  <c r="AQ31" i="77"/>
  <c r="AW31" i="77" s="1"/>
  <c r="K8" i="77"/>
  <c r="AP10" i="77"/>
  <c r="AV10" i="77" s="1"/>
  <c r="AP12" i="77"/>
  <c r="AV12" i="77" s="1"/>
  <c r="AP14" i="77"/>
  <c r="AV14" i="77" s="1"/>
  <c r="AP16" i="77"/>
  <c r="AV16" i="77" s="1"/>
  <c r="AQ8" i="77"/>
  <c r="AW8" i="77" s="1"/>
  <c r="AS9" i="77"/>
  <c r="AY9" i="77" s="1"/>
  <c r="AS11" i="77"/>
  <c r="AY11" i="77" s="1"/>
  <c r="AR17" i="77"/>
  <c r="AX17" i="77" s="1"/>
  <c r="AP17" i="77"/>
  <c r="AV17" i="77" s="1"/>
  <c r="N18" i="77"/>
  <c r="K19" i="77"/>
  <c r="M19" i="77" s="1"/>
  <c r="AT20" i="77"/>
  <c r="AZ20" i="77" s="1"/>
  <c r="AS20" i="77"/>
  <c r="AY20" i="77" s="1"/>
  <c r="AR21" i="77"/>
  <c r="AX21" i="77" s="1"/>
  <c r="AQ21" i="77"/>
  <c r="AW21" i="77" s="1"/>
  <c r="N22" i="77"/>
  <c r="AP22" i="77"/>
  <c r="AV22" i="77" s="1"/>
  <c r="AT24" i="77"/>
  <c r="AZ24" i="77" s="1"/>
  <c r="AS24" i="77"/>
  <c r="AY24" i="77" s="1"/>
  <c r="AR25" i="77"/>
  <c r="AX25" i="77" s="1"/>
  <c r="AQ25" i="77"/>
  <c r="AW25" i="77" s="1"/>
  <c r="N26" i="77"/>
  <c r="AP26" i="77"/>
  <c r="AV26" i="77" s="1"/>
  <c r="AT28" i="77"/>
  <c r="AZ28" i="77" s="1"/>
  <c r="AS28" i="77"/>
  <c r="AY28" i="77" s="1"/>
  <c r="AR29" i="77"/>
  <c r="AX29" i="77" s="1"/>
  <c r="AQ29" i="77"/>
  <c r="AW29" i="77" s="1"/>
  <c r="N30" i="77"/>
  <c r="AP30" i="77"/>
  <c r="AV30" i="77" s="1"/>
  <c r="AP18" i="77"/>
  <c r="AV18" i="77" s="1"/>
  <c r="AP19" i="77"/>
  <c r="AV19" i="77" s="1"/>
  <c r="AT21" i="77"/>
  <c r="AZ21" i="77" s="1"/>
  <c r="AS21" i="77"/>
  <c r="AY21" i="77" s="1"/>
  <c r="AP23" i="77"/>
  <c r="AV23" i="77" s="1"/>
  <c r="AT25" i="77"/>
  <c r="AZ25" i="77" s="1"/>
  <c r="AS25" i="77"/>
  <c r="AY25" i="77" s="1"/>
  <c r="AP27" i="77"/>
  <c r="AV27" i="77" s="1"/>
  <c r="AT29" i="77"/>
  <c r="AZ29" i="77" s="1"/>
  <c r="AS29" i="77"/>
  <c r="AY29" i="77" s="1"/>
  <c r="AP31" i="77"/>
  <c r="AV31" i="77" s="1"/>
  <c r="K11" i="76"/>
  <c r="M11" i="76" s="1"/>
  <c r="K12" i="76"/>
  <c r="M12" i="76" s="1"/>
  <c r="K13" i="76"/>
  <c r="M13" i="76" s="1"/>
  <c r="K14" i="76"/>
  <c r="M14" i="76" s="1"/>
  <c r="K15" i="76"/>
  <c r="M15" i="76" s="1"/>
  <c r="K16" i="76"/>
  <c r="M16" i="76" s="1"/>
  <c r="K17" i="76"/>
  <c r="M17" i="76" s="1"/>
  <c r="K18" i="76"/>
  <c r="M18" i="76" s="1"/>
  <c r="K19" i="76"/>
  <c r="M19" i="76" s="1"/>
  <c r="K20" i="76"/>
  <c r="M20" i="76" s="1"/>
  <c r="K21" i="76"/>
  <c r="M21" i="76" s="1"/>
  <c r="K22" i="76"/>
  <c r="M22" i="76" s="1"/>
  <c r="K23" i="76"/>
  <c r="M23" i="76" s="1"/>
  <c r="K24" i="76"/>
  <c r="M24" i="76" s="1"/>
  <c r="K25" i="76"/>
  <c r="M25" i="76" s="1"/>
  <c r="K26" i="76"/>
  <c r="M26" i="76" s="1"/>
  <c r="K27" i="76"/>
  <c r="M27" i="76" s="1"/>
  <c r="K28" i="76"/>
  <c r="M28" i="76" s="1"/>
  <c r="K29" i="76"/>
  <c r="M29" i="76" s="1"/>
  <c r="K30" i="76"/>
  <c r="M30" i="76" s="1"/>
  <c r="K31" i="76"/>
  <c r="M31" i="76" s="1"/>
  <c r="K8" i="76"/>
  <c r="M8" i="76" s="1"/>
  <c r="B32" i="76"/>
  <c r="C12" i="65" s="1"/>
  <c r="AM31" i="76"/>
  <c r="AL31" i="76"/>
  <c r="AK31" i="76"/>
  <c r="AF31" i="76"/>
  <c r="AE31" i="76"/>
  <c r="AD31" i="76"/>
  <c r="Y31" i="76"/>
  <c r="X31" i="76"/>
  <c r="W31" i="76"/>
  <c r="S31" i="76"/>
  <c r="R31" i="76"/>
  <c r="O31" i="76"/>
  <c r="P31" i="76" s="1"/>
  <c r="E31" i="76"/>
  <c r="D31" i="76"/>
  <c r="F31" i="76" s="1"/>
  <c r="AM30" i="76"/>
  <c r="AL30" i="76"/>
  <c r="AK30" i="76"/>
  <c r="AF30" i="76"/>
  <c r="AE30" i="76"/>
  <c r="AD30" i="76"/>
  <c r="Y30" i="76"/>
  <c r="X30" i="76"/>
  <c r="W30" i="76"/>
  <c r="S30" i="76"/>
  <c r="R30" i="76"/>
  <c r="O30" i="76"/>
  <c r="P30" i="76" s="1"/>
  <c r="E30" i="76"/>
  <c r="D30" i="76"/>
  <c r="F30" i="76" s="1"/>
  <c r="AM29" i="76"/>
  <c r="AL29" i="76"/>
  <c r="AK29" i="76"/>
  <c r="AF29" i="76"/>
  <c r="AE29" i="76"/>
  <c r="AD29" i="76"/>
  <c r="Y29" i="76"/>
  <c r="X29" i="76"/>
  <c r="W29" i="76"/>
  <c r="S29" i="76"/>
  <c r="R29" i="76"/>
  <c r="O29" i="76"/>
  <c r="P29" i="76" s="1"/>
  <c r="E29" i="76"/>
  <c r="D29" i="76"/>
  <c r="F29" i="76" s="1"/>
  <c r="AM28" i="76"/>
  <c r="AL28" i="76"/>
  <c r="AK28" i="76"/>
  <c r="AF28" i="76"/>
  <c r="AE28" i="76"/>
  <c r="AD28" i="76"/>
  <c r="Y28" i="76"/>
  <c r="X28" i="76"/>
  <c r="W28" i="76"/>
  <c r="S28" i="76"/>
  <c r="R28" i="76"/>
  <c r="O28" i="76"/>
  <c r="P28" i="76" s="1"/>
  <c r="E28" i="76"/>
  <c r="D28" i="76"/>
  <c r="F28" i="76" s="1"/>
  <c r="AM27" i="76"/>
  <c r="AL27" i="76"/>
  <c r="AK27" i="76"/>
  <c r="AF27" i="76"/>
  <c r="AE27" i="76"/>
  <c r="AD27" i="76"/>
  <c r="Y27" i="76"/>
  <c r="X27" i="76"/>
  <c r="W27" i="76"/>
  <c r="S27" i="76"/>
  <c r="R27" i="76"/>
  <c r="O27" i="76"/>
  <c r="P27" i="76" s="1"/>
  <c r="E27" i="76"/>
  <c r="D27" i="76"/>
  <c r="F27" i="76" s="1"/>
  <c r="AM26" i="76"/>
  <c r="AL26" i="76"/>
  <c r="AK26" i="76"/>
  <c r="AF26" i="76"/>
  <c r="AE26" i="76"/>
  <c r="AD26" i="76"/>
  <c r="Y26" i="76"/>
  <c r="X26" i="76"/>
  <c r="W26" i="76"/>
  <c r="S26" i="76"/>
  <c r="R26" i="76"/>
  <c r="O26" i="76"/>
  <c r="P26" i="76" s="1"/>
  <c r="E26" i="76"/>
  <c r="D26" i="76"/>
  <c r="F26" i="76" s="1"/>
  <c r="AM25" i="76"/>
  <c r="AL25" i="76"/>
  <c r="AK25" i="76"/>
  <c r="AF25" i="76"/>
  <c r="AE25" i="76"/>
  <c r="AD25" i="76"/>
  <c r="Y25" i="76"/>
  <c r="X25" i="76"/>
  <c r="W25" i="76"/>
  <c r="S25" i="76"/>
  <c r="R25" i="76"/>
  <c r="O25" i="76"/>
  <c r="P25" i="76" s="1"/>
  <c r="E25" i="76"/>
  <c r="D25" i="76"/>
  <c r="F25" i="76" s="1"/>
  <c r="AM24" i="76"/>
  <c r="AL24" i="76"/>
  <c r="AK24" i="76"/>
  <c r="AF24" i="76"/>
  <c r="AE24" i="76"/>
  <c r="AD24" i="76"/>
  <c r="Y24" i="76"/>
  <c r="X24" i="76"/>
  <c r="W24" i="76"/>
  <c r="S24" i="76"/>
  <c r="R24" i="76"/>
  <c r="O24" i="76"/>
  <c r="P24" i="76" s="1"/>
  <c r="E24" i="76"/>
  <c r="D24" i="76"/>
  <c r="F24" i="76" s="1"/>
  <c r="AM23" i="76"/>
  <c r="AL23" i="76"/>
  <c r="AK23" i="76"/>
  <c r="AF23" i="76"/>
  <c r="AE23" i="76"/>
  <c r="AD23" i="76"/>
  <c r="Y23" i="76"/>
  <c r="X23" i="76"/>
  <c r="W23" i="76"/>
  <c r="S23" i="76"/>
  <c r="R23" i="76"/>
  <c r="O23" i="76"/>
  <c r="P23" i="76" s="1"/>
  <c r="E23" i="76"/>
  <c r="D23" i="76"/>
  <c r="F23" i="76" s="1"/>
  <c r="AM22" i="76"/>
  <c r="AL22" i="76"/>
  <c r="AK22" i="76"/>
  <c r="AF22" i="76"/>
  <c r="AE22" i="76"/>
  <c r="AD22" i="76"/>
  <c r="Y22" i="76"/>
  <c r="X22" i="76"/>
  <c r="W22" i="76"/>
  <c r="S22" i="76"/>
  <c r="R22" i="76"/>
  <c r="O22" i="76"/>
  <c r="P22" i="76" s="1"/>
  <c r="E22" i="76"/>
  <c r="D22" i="76"/>
  <c r="F22" i="76" s="1"/>
  <c r="AM21" i="76"/>
  <c r="AL21" i="76"/>
  <c r="AK21" i="76"/>
  <c r="AF21" i="76"/>
  <c r="AE21" i="76"/>
  <c r="AD21" i="76"/>
  <c r="Y21" i="76"/>
  <c r="X21" i="76"/>
  <c r="W21" i="76"/>
  <c r="S21" i="76"/>
  <c r="R21" i="76"/>
  <c r="O21" i="76"/>
  <c r="P21" i="76" s="1"/>
  <c r="E21" i="76"/>
  <c r="D21" i="76"/>
  <c r="F21" i="76" s="1"/>
  <c r="AM20" i="76"/>
  <c r="AL20" i="76"/>
  <c r="AK20" i="76"/>
  <c r="AF20" i="76"/>
  <c r="AE20" i="76"/>
  <c r="AD20" i="76"/>
  <c r="Y20" i="76"/>
  <c r="X20" i="76"/>
  <c r="W20" i="76"/>
  <c r="S20" i="76"/>
  <c r="R20" i="76"/>
  <c r="O20" i="76"/>
  <c r="P20" i="76" s="1"/>
  <c r="E20" i="76"/>
  <c r="D20" i="76"/>
  <c r="F20" i="76" s="1"/>
  <c r="AM19" i="76"/>
  <c r="AL19" i="76"/>
  <c r="AK19" i="76"/>
  <c r="AF19" i="76"/>
  <c r="AE19" i="76"/>
  <c r="AD19" i="76"/>
  <c r="Y19" i="76"/>
  <c r="X19" i="76"/>
  <c r="W19" i="76"/>
  <c r="S19" i="76"/>
  <c r="R19" i="76"/>
  <c r="O19" i="76"/>
  <c r="P19" i="76" s="1"/>
  <c r="E19" i="76"/>
  <c r="D19" i="76"/>
  <c r="F19" i="76" s="1"/>
  <c r="AM18" i="76"/>
  <c r="AL18" i="76"/>
  <c r="AK18" i="76"/>
  <c r="AF18" i="76"/>
  <c r="AE18" i="76"/>
  <c r="AD18" i="76"/>
  <c r="Y18" i="76"/>
  <c r="X18" i="76"/>
  <c r="W18" i="76"/>
  <c r="S18" i="76"/>
  <c r="R18" i="76"/>
  <c r="O18" i="76"/>
  <c r="P18" i="76" s="1"/>
  <c r="E18" i="76"/>
  <c r="D18" i="76"/>
  <c r="F18" i="76" s="1"/>
  <c r="AM17" i="76"/>
  <c r="AL17" i="76"/>
  <c r="AK17" i="76"/>
  <c r="AF17" i="76"/>
  <c r="AE17" i="76"/>
  <c r="AD17" i="76"/>
  <c r="Y17" i="76"/>
  <c r="X17" i="76"/>
  <c r="W17" i="76"/>
  <c r="S17" i="76"/>
  <c r="R17" i="76"/>
  <c r="O17" i="76"/>
  <c r="P17" i="76" s="1"/>
  <c r="E17" i="76"/>
  <c r="D17" i="76"/>
  <c r="F17" i="76" s="1"/>
  <c r="AM16" i="76"/>
  <c r="AL16" i="76"/>
  <c r="AK16" i="76"/>
  <c r="AF16" i="76"/>
  <c r="AE16" i="76"/>
  <c r="AD16" i="76"/>
  <c r="Y16" i="76"/>
  <c r="X16" i="76"/>
  <c r="W16" i="76"/>
  <c r="S16" i="76"/>
  <c r="R16" i="76"/>
  <c r="O16" i="76"/>
  <c r="P16" i="76" s="1"/>
  <c r="E16" i="76"/>
  <c r="D16" i="76"/>
  <c r="F16" i="76" s="1"/>
  <c r="AM15" i="76"/>
  <c r="AL15" i="76"/>
  <c r="AK15" i="76"/>
  <c r="AF15" i="76"/>
  <c r="AE15" i="76"/>
  <c r="AD15" i="76"/>
  <c r="Y15" i="76"/>
  <c r="X15" i="76"/>
  <c r="W15" i="76"/>
  <c r="S15" i="76"/>
  <c r="R15" i="76"/>
  <c r="O15" i="76"/>
  <c r="P15" i="76" s="1"/>
  <c r="E15" i="76"/>
  <c r="D15" i="76"/>
  <c r="F15" i="76" s="1"/>
  <c r="AM14" i="76"/>
  <c r="AL14" i="76"/>
  <c r="AK14" i="76"/>
  <c r="AF14" i="76"/>
  <c r="AE14" i="76"/>
  <c r="AD14" i="76"/>
  <c r="Y14" i="76"/>
  <c r="X14" i="76"/>
  <c r="W14" i="76"/>
  <c r="S14" i="76"/>
  <c r="R14" i="76"/>
  <c r="O14" i="76"/>
  <c r="P14" i="76" s="1"/>
  <c r="E14" i="76"/>
  <c r="D14" i="76"/>
  <c r="F14" i="76" s="1"/>
  <c r="AM13" i="76"/>
  <c r="AL13" i="76"/>
  <c r="AK13" i="76"/>
  <c r="AF13" i="76"/>
  <c r="AE13" i="76"/>
  <c r="AD13" i="76"/>
  <c r="Y13" i="76"/>
  <c r="X13" i="76"/>
  <c r="W13" i="76"/>
  <c r="S13" i="76"/>
  <c r="R13" i="76"/>
  <c r="O13" i="76"/>
  <c r="P13" i="76" s="1"/>
  <c r="E13" i="76"/>
  <c r="D13" i="76"/>
  <c r="F13" i="76" s="1"/>
  <c r="AM12" i="76"/>
  <c r="AL12" i="76"/>
  <c r="AK12" i="76"/>
  <c r="AF12" i="76"/>
  <c r="AE12" i="76"/>
  <c r="AD12" i="76"/>
  <c r="Y12" i="76"/>
  <c r="X12" i="76"/>
  <c r="W12" i="76"/>
  <c r="S12" i="76"/>
  <c r="R12" i="76"/>
  <c r="O12" i="76"/>
  <c r="P12" i="76" s="1"/>
  <c r="E12" i="76"/>
  <c r="D12" i="76"/>
  <c r="F12" i="76" s="1"/>
  <c r="AM11" i="76"/>
  <c r="AL11" i="76"/>
  <c r="AK11" i="76"/>
  <c r="AF11" i="76"/>
  <c r="AE11" i="76"/>
  <c r="AD11" i="76"/>
  <c r="Y11" i="76"/>
  <c r="X11" i="76"/>
  <c r="W11" i="76"/>
  <c r="S11" i="76"/>
  <c r="R11" i="76"/>
  <c r="O11" i="76"/>
  <c r="P11" i="76" s="1"/>
  <c r="E11" i="76"/>
  <c r="D11" i="76"/>
  <c r="F11" i="76" s="1"/>
  <c r="AM10" i="76"/>
  <c r="AL10" i="76"/>
  <c r="AK10" i="76"/>
  <c r="AF10" i="76"/>
  <c r="AE10" i="76"/>
  <c r="AD10" i="76"/>
  <c r="Y10" i="76"/>
  <c r="X10" i="76"/>
  <c r="W10" i="76"/>
  <c r="S10" i="76"/>
  <c r="R10" i="76"/>
  <c r="O10" i="76"/>
  <c r="P10" i="76" s="1"/>
  <c r="E10" i="76"/>
  <c r="D10" i="76"/>
  <c r="AM9" i="76"/>
  <c r="AL9" i="76"/>
  <c r="AK9" i="76"/>
  <c r="AF9" i="76"/>
  <c r="AE9" i="76"/>
  <c r="AD9" i="76"/>
  <c r="Y9" i="76"/>
  <c r="X9" i="76"/>
  <c r="W9" i="76"/>
  <c r="S9" i="76"/>
  <c r="R9" i="76"/>
  <c r="O9" i="76"/>
  <c r="P9" i="76" s="1"/>
  <c r="E9" i="76"/>
  <c r="D9" i="76"/>
  <c r="AM8" i="76"/>
  <c r="AL8" i="76"/>
  <c r="AK8" i="76"/>
  <c r="AF8" i="76"/>
  <c r="AE8" i="76"/>
  <c r="AD8" i="76"/>
  <c r="Y8" i="76"/>
  <c r="X8" i="76"/>
  <c r="W8" i="76"/>
  <c r="S8" i="76"/>
  <c r="R8" i="76"/>
  <c r="O8" i="76"/>
  <c r="P8" i="76" s="1"/>
  <c r="E8" i="76"/>
  <c r="D8" i="76"/>
  <c r="C3" i="76"/>
  <c r="E2" i="76"/>
  <c r="C2" i="76"/>
  <c r="E1" i="76"/>
  <c r="C1" i="76"/>
  <c r="F8" i="76" l="1"/>
  <c r="F10" i="76"/>
  <c r="F9" i="76"/>
  <c r="M8" i="77"/>
  <c r="N8" i="77" s="1"/>
  <c r="M12" i="77"/>
  <c r="N12" i="77" s="1"/>
  <c r="N15" i="77"/>
  <c r="N10" i="77"/>
  <c r="N14" i="77"/>
  <c r="N19" i="77"/>
  <c r="N17" i="77"/>
  <c r="N31" i="76"/>
  <c r="K10" i="76"/>
  <c r="N9" i="77"/>
  <c r="K9" i="76"/>
  <c r="M9" i="76" s="1"/>
  <c r="N30" i="76"/>
  <c r="AR9" i="76"/>
  <c r="AX9" i="76" s="1"/>
  <c r="AR17" i="76"/>
  <c r="AX17" i="76" s="1"/>
  <c r="AR21" i="76"/>
  <c r="AX21" i="76" s="1"/>
  <c r="AR25" i="76"/>
  <c r="AX25" i="76" s="1"/>
  <c r="AS8" i="76"/>
  <c r="AY8" i="76" s="1"/>
  <c r="AT9" i="76"/>
  <c r="AZ9" i="76" s="1"/>
  <c r="AS10" i="76"/>
  <c r="AY10" i="76" s="1"/>
  <c r="AT11" i="76"/>
  <c r="AZ11" i="76" s="1"/>
  <c r="AP11" i="76"/>
  <c r="AV11" i="76" s="1"/>
  <c r="AP12" i="76"/>
  <c r="AV12" i="76" s="1"/>
  <c r="AT13" i="76"/>
  <c r="AZ13" i="76" s="1"/>
  <c r="AS14" i="76"/>
  <c r="AY14" i="76" s="1"/>
  <c r="AT15" i="76"/>
  <c r="AZ15" i="76" s="1"/>
  <c r="AP15" i="76"/>
  <c r="AV15" i="76" s="1"/>
  <c r="AP16" i="76"/>
  <c r="AV16" i="76" s="1"/>
  <c r="AT17" i="76"/>
  <c r="AZ17" i="76" s="1"/>
  <c r="AS18" i="76"/>
  <c r="AY18" i="76" s="1"/>
  <c r="AT19" i="76"/>
  <c r="AZ19" i="76" s="1"/>
  <c r="AP19" i="76"/>
  <c r="AV19" i="76" s="1"/>
  <c r="AP20" i="76"/>
  <c r="AV20" i="76" s="1"/>
  <c r="AT21" i="76"/>
  <c r="AZ21" i="76" s="1"/>
  <c r="AS22" i="76"/>
  <c r="AY22" i="76" s="1"/>
  <c r="AT23" i="76"/>
  <c r="AZ23" i="76" s="1"/>
  <c r="AP23" i="76"/>
  <c r="AV23" i="76" s="1"/>
  <c r="AP24" i="76"/>
  <c r="AV24" i="76" s="1"/>
  <c r="AT25" i="76"/>
  <c r="AZ25" i="76" s="1"/>
  <c r="AQ26" i="76"/>
  <c r="AW26" i="76" s="1"/>
  <c r="AT27" i="76"/>
  <c r="AZ27" i="76" s="1"/>
  <c r="AP27" i="76"/>
  <c r="AV27" i="76" s="1"/>
  <c r="AP28" i="76"/>
  <c r="AV28" i="76" s="1"/>
  <c r="AT29" i="76"/>
  <c r="AZ29" i="76" s="1"/>
  <c r="AQ30" i="76"/>
  <c r="AW30" i="76" s="1"/>
  <c r="AP31" i="76"/>
  <c r="AV31" i="76" s="1"/>
  <c r="AT31" i="76"/>
  <c r="AZ31" i="76" s="1"/>
  <c r="AR29" i="76"/>
  <c r="AX29" i="76" s="1"/>
  <c r="AR13" i="76"/>
  <c r="AX13" i="76" s="1"/>
  <c r="AX32" i="77"/>
  <c r="AR10" i="76"/>
  <c r="AX10" i="76" s="1"/>
  <c r="AR14" i="76"/>
  <c r="AX14" i="76" s="1"/>
  <c r="AR22" i="76"/>
  <c r="AX22" i="76" s="1"/>
  <c r="AR8" i="76"/>
  <c r="AX8" i="76" s="1"/>
  <c r="AR12" i="76"/>
  <c r="AX12" i="76" s="1"/>
  <c r="AR16" i="76"/>
  <c r="AX16" i="76" s="1"/>
  <c r="AR28" i="76"/>
  <c r="AX28" i="76" s="1"/>
  <c r="AS30" i="76"/>
  <c r="AY30" i="76" s="1"/>
  <c r="AS9" i="76"/>
  <c r="AY9" i="76" s="1"/>
  <c r="AT10" i="76"/>
  <c r="AZ10" i="76" s="1"/>
  <c r="AQ11" i="76"/>
  <c r="AW11" i="76" s="1"/>
  <c r="AT12" i="76"/>
  <c r="AZ12" i="76" s="1"/>
  <c r="AS13" i="76"/>
  <c r="AY13" i="76" s="1"/>
  <c r="AT14" i="76"/>
  <c r="AZ14" i="76" s="1"/>
  <c r="AQ15" i="76"/>
  <c r="AW15" i="76" s="1"/>
  <c r="AT16" i="76"/>
  <c r="AZ16" i="76" s="1"/>
  <c r="AS17" i="76"/>
  <c r="AY17" i="76" s="1"/>
  <c r="AT18" i="76"/>
  <c r="AZ18" i="76" s="1"/>
  <c r="AQ19" i="76"/>
  <c r="AW19" i="76" s="1"/>
  <c r="AT20" i="76"/>
  <c r="AZ20" i="76" s="1"/>
  <c r="AS21" i="76"/>
  <c r="AY21" i="76" s="1"/>
  <c r="AT22" i="76"/>
  <c r="AZ22" i="76" s="1"/>
  <c r="AQ23" i="76"/>
  <c r="AW23" i="76" s="1"/>
  <c r="AT24" i="76"/>
  <c r="AZ24" i="76" s="1"/>
  <c r="AS25" i="76"/>
  <c r="AY25" i="76" s="1"/>
  <c r="AT26" i="76"/>
  <c r="AZ26" i="76" s="1"/>
  <c r="AQ27" i="76"/>
  <c r="AW27" i="76" s="1"/>
  <c r="AT28" i="76"/>
  <c r="AZ28" i="76" s="1"/>
  <c r="AS29" i="76"/>
  <c r="AY29" i="76" s="1"/>
  <c r="AR30" i="76"/>
  <c r="AX30" i="76" s="1"/>
  <c r="AR18" i="76"/>
  <c r="AX18" i="76" s="1"/>
  <c r="AR20" i="76"/>
  <c r="AX20" i="76" s="1"/>
  <c r="AR24" i="76"/>
  <c r="AX24" i="76" s="1"/>
  <c r="AR26" i="76"/>
  <c r="AX26" i="76" s="1"/>
  <c r="AT8" i="76"/>
  <c r="AZ8" i="76" s="1"/>
  <c r="AR11" i="76"/>
  <c r="AX11" i="76" s="1"/>
  <c r="AR15" i="76"/>
  <c r="AX15" i="76" s="1"/>
  <c r="AR19" i="76"/>
  <c r="AX19" i="76" s="1"/>
  <c r="AR23" i="76"/>
  <c r="AX23" i="76" s="1"/>
  <c r="AR27" i="76"/>
  <c r="AX27" i="76" s="1"/>
  <c r="AT30" i="76"/>
  <c r="AZ30" i="76" s="1"/>
  <c r="AQ31" i="76"/>
  <c r="AW31" i="76" s="1"/>
  <c r="AQ22" i="76"/>
  <c r="AW22" i="76" s="1"/>
  <c r="AQ18" i="76"/>
  <c r="AW18" i="76" s="1"/>
  <c r="AS31" i="76"/>
  <c r="AY31" i="76" s="1"/>
  <c r="AP30" i="76"/>
  <c r="AV30" i="76" s="1"/>
  <c r="AQ29" i="76"/>
  <c r="AW29" i="76" s="1"/>
  <c r="AS27" i="76"/>
  <c r="AY27" i="76" s="1"/>
  <c r="AP26" i="76"/>
  <c r="AV26" i="76" s="1"/>
  <c r="AQ25" i="76"/>
  <c r="AW25" i="76" s="1"/>
  <c r="AS23" i="76"/>
  <c r="AY23" i="76" s="1"/>
  <c r="AP22" i="76"/>
  <c r="AV22" i="76" s="1"/>
  <c r="AQ21" i="76"/>
  <c r="AW21" i="76" s="1"/>
  <c r="AS19" i="76"/>
  <c r="AY19" i="76" s="1"/>
  <c r="AP18" i="76"/>
  <c r="AV18" i="76" s="1"/>
  <c r="AQ17" i="76"/>
  <c r="AW17" i="76" s="1"/>
  <c r="AS15" i="76"/>
  <c r="AY15" i="76" s="1"/>
  <c r="AP14" i="76"/>
  <c r="AV14" i="76" s="1"/>
  <c r="AQ13" i="76"/>
  <c r="AW13" i="76" s="1"/>
  <c r="AS11" i="76"/>
  <c r="AY11" i="76" s="1"/>
  <c r="AP10" i="76"/>
  <c r="AV10" i="76" s="1"/>
  <c r="AQ9" i="76"/>
  <c r="AW9" i="76" s="1"/>
  <c r="AQ8" i="76"/>
  <c r="AW8" i="76" s="1"/>
  <c r="AS16" i="76"/>
  <c r="AY16" i="76" s="1"/>
  <c r="AQ14" i="76"/>
  <c r="AW14" i="76" s="1"/>
  <c r="AS12" i="76"/>
  <c r="AY12" i="76" s="1"/>
  <c r="AQ10" i="76"/>
  <c r="AW10" i="76" s="1"/>
  <c r="AR31" i="76"/>
  <c r="AX31" i="76" s="1"/>
  <c r="AP29" i="76"/>
  <c r="AV29" i="76" s="1"/>
  <c r="AQ28" i="76"/>
  <c r="AW28" i="76" s="1"/>
  <c r="AS26" i="76"/>
  <c r="AY26" i="76" s="1"/>
  <c r="AP25" i="76"/>
  <c r="AV25" i="76" s="1"/>
  <c r="AQ24" i="76"/>
  <c r="AW24" i="76" s="1"/>
  <c r="AP21" i="76"/>
  <c r="AV21" i="76" s="1"/>
  <c r="AQ20" i="76"/>
  <c r="AW20" i="76" s="1"/>
  <c r="AP17" i="76"/>
  <c r="AV17" i="76" s="1"/>
  <c r="AQ16" i="76"/>
  <c r="AW16" i="76" s="1"/>
  <c r="AP13" i="76"/>
  <c r="AV13" i="76" s="1"/>
  <c r="AQ12" i="76"/>
  <c r="AW12" i="76" s="1"/>
  <c r="AP9" i="76"/>
  <c r="AV9" i="76" s="1"/>
  <c r="AS28" i="76"/>
  <c r="AY28" i="76" s="1"/>
  <c r="AS24" i="76"/>
  <c r="AY24" i="76" s="1"/>
  <c r="AS20" i="76"/>
  <c r="AY20" i="76" s="1"/>
  <c r="AZ32" i="77"/>
  <c r="AP8" i="76"/>
  <c r="AV8" i="76" s="1"/>
  <c r="AV32" i="77"/>
  <c r="AW32" i="77"/>
  <c r="AY32" i="77"/>
  <c r="N8" i="76"/>
  <c r="N12" i="76"/>
  <c r="N14" i="76"/>
  <c r="N16" i="76"/>
  <c r="N18" i="76"/>
  <c r="N20" i="76"/>
  <c r="N22" i="76"/>
  <c r="N24" i="76"/>
  <c r="N26" i="76"/>
  <c r="N28" i="76"/>
  <c r="P32" i="76"/>
  <c r="E12" i="65" s="1"/>
  <c r="G12" i="65" s="1"/>
  <c r="N11" i="76"/>
  <c r="N13" i="76"/>
  <c r="N15" i="76"/>
  <c r="N17" i="76"/>
  <c r="N19" i="76"/>
  <c r="N21" i="76"/>
  <c r="N23" i="76"/>
  <c r="N25" i="76"/>
  <c r="N27" i="76"/>
  <c r="N29" i="76"/>
  <c r="D22" i="42"/>
  <c r="L22" i="42" s="1"/>
  <c r="I22" i="42"/>
  <c r="K22" i="42"/>
  <c r="Q13" i="42"/>
  <c r="N13" i="42"/>
  <c r="L6" i="42"/>
  <c r="O6" i="42" s="1"/>
  <c r="Q6" i="42" s="1"/>
  <c r="L10" i="42"/>
  <c r="O10" i="42" s="1"/>
  <c r="Q10" i="42" s="1"/>
  <c r="L14" i="42"/>
  <c r="O14" i="42" s="1"/>
  <c r="Q14" i="42" s="1"/>
  <c r="L18" i="42"/>
  <c r="O18" i="42" s="1"/>
  <c r="Q18" i="42" s="1"/>
  <c r="K13" i="42"/>
  <c r="D12" i="42"/>
  <c r="I12" i="42" s="1"/>
  <c r="K12" i="42" s="1"/>
  <c r="D13" i="42"/>
  <c r="I13" i="42" s="1"/>
  <c r="D14" i="42"/>
  <c r="I14" i="42" s="1"/>
  <c r="K14" i="42" s="1"/>
  <c r="D15" i="42"/>
  <c r="I15" i="42" s="1"/>
  <c r="K15" i="42" s="1"/>
  <c r="D16" i="42"/>
  <c r="I16" i="42" s="1"/>
  <c r="K16" i="42" s="1"/>
  <c r="D17" i="42"/>
  <c r="I17" i="42" s="1"/>
  <c r="K17" i="42" s="1"/>
  <c r="D18" i="42"/>
  <c r="I18" i="42"/>
  <c r="K18" i="42" s="1"/>
  <c r="D19" i="42"/>
  <c r="I19" i="42" s="1"/>
  <c r="K19" i="42" s="1"/>
  <c r="D20" i="42"/>
  <c r="L20" i="42" s="1"/>
  <c r="D21" i="42"/>
  <c r="I21" i="42" s="1"/>
  <c r="K21" i="42" s="1"/>
  <c r="D8" i="42"/>
  <c r="I8" i="42" s="1"/>
  <c r="K8" i="42" s="1"/>
  <c r="D9" i="42"/>
  <c r="I9" i="42" s="1"/>
  <c r="K9" i="42" s="1"/>
  <c r="D10" i="42"/>
  <c r="I10" i="42" s="1"/>
  <c r="K10" i="42" s="1"/>
  <c r="D11" i="42"/>
  <c r="I11" i="42" s="1"/>
  <c r="K11" i="42" s="1"/>
  <c r="I5" i="42"/>
  <c r="K5" i="42" s="1"/>
  <c r="D7" i="42"/>
  <c r="L7" i="42" s="1"/>
  <c r="D6" i="42"/>
  <c r="I6" i="42" s="1"/>
  <c r="K6" i="42" s="1"/>
  <c r="D5" i="42"/>
  <c r="L5" i="42" s="1"/>
  <c r="O5" i="42" s="1"/>
  <c r="Q5" i="42" s="1"/>
  <c r="L17" i="42" l="1"/>
  <c r="O17" i="42" s="1"/>
  <c r="Q17" i="42" s="1"/>
  <c r="I20" i="42"/>
  <c r="K20" i="42" s="1"/>
  <c r="L13" i="42"/>
  <c r="O13" i="42" s="1"/>
  <c r="M10" i="76"/>
  <c r="N10" i="76" s="1"/>
  <c r="N32" i="77"/>
  <c r="D23" i="65" s="1"/>
  <c r="F23" i="65" s="1"/>
  <c r="N9" i="76"/>
  <c r="J23" i="65"/>
  <c r="O23" i="65" s="1"/>
  <c r="AV33" i="77"/>
  <c r="AP33" i="77" s="1"/>
  <c r="L23" i="65"/>
  <c r="Q23" i="65" s="1"/>
  <c r="AX33" i="77"/>
  <c r="AR33" i="77" s="1"/>
  <c r="I23" i="65"/>
  <c r="N23" i="65" s="1"/>
  <c r="AW33" i="77"/>
  <c r="AQ33" i="77" s="1"/>
  <c r="K23" i="65"/>
  <c r="P23" i="65" s="1"/>
  <c r="AY33" i="77"/>
  <c r="AS33" i="77" s="1"/>
  <c r="M23" i="65"/>
  <c r="R23" i="65" s="1"/>
  <c r="AZ33" i="77"/>
  <c r="AT33" i="77" s="1"/>
  <c r="AZ32" i="76"/>
  <c r="AX32" i="76"/>
  <c r="AV32" i="76"/>
  <c r="AY32" i="76"/>
  <c r="AW32" i="76"/>
  <c r="N22" i="42"/>
  <c r="O22" i="42"/>
  <c r="Q22" i="42" s="1"/>
  <c r="O20" i="42"/>
  <c r="Q20" i="42" s="1"/>
  <c r="N20" i="42"/>
  <c r="O7" i="42"/>
  <c r="Q7" i="42" s="1"/>
  <c r="N7" i="42"/>
  <c r="L21" i="42"/>
  <c r="L9" i="42"/>
  <c r="N5" i="42"/>
  <c r="N18" i="42"/>
  <c r="I7" i="42"/>
  <c r="K7" i="42" s="1"/>
  <c r="L16" i="42"/>
  <c r="L12" i="42"/>
  <c r="L8" i="42"/>
  <c r="N17" i="42"/>
  <c r="L19" i="42"/>
  <c r="L15" i="42"/>
  <c r="L11" i="42"/>
  <c r="N10" i="42"/>
  <c r="N6" i="42"/>
  <c r="N14" i="42"/>
  <c r="F2" i="72"/>
  <c r="C3" i="72"/>
  <c r="C2" i="72"/>
  <c r="B32" i="75"/>
  <c r="C24" i="65" s="1"/>
  <c r="BA31" i="75"/>
  <c r="AZ31" i="75"/>
  <c r="AY31" i="75"/>
  <c r="AT31" i="75"/>
  <c r="AS31" i="75"/>
  <c r="AR31" i="75"/>
  <c r="AM31" i="75"/>
  <c r="AL31" i="75"/>
  <c r="AK31" i="75"/>
  <c r="AF31" i="75"/>
  <c r="AE31" i="75"/>
  <c r="AD31" i="75"/>
  <c r="Y31" i="75"/>
  <c r="X31" i="75"/>
  <c r="W31" i="75"/>
  <c r="S31" i="75"/>
  <c r="R31" i="75"/>
  <c r="O31" i="75"/>
  <c r="P31" i="75" s="1"/>
  <c r="K31" i="75"/>
  <c r="I31" i="75"/>
  <c r="E31" i="75"/>
  <c r="D31" i="75"/>
  <c r="BA30" i="75"/>
  <c r="AZ30" i="75"/>
  <c r="AY30" i="75"/>
  <c r="AT30" i="75"/>
  <c r="AS30" i="75"/>
  <c r="AR30" i="75"/>
  <c r="AM30" i="75"/>
  <c r="AL30" i="75"/>
  <c r="AK30" i="75"/>
  <c r="AF30" i="75"/>
  <c r="AE30" i="75"/>
  <c r="AD30" i="75"/>
  <c r="Y30" i="75"/>
  <c r="X30" i="75"/>
  <c r="W30" i="75"/>
  <c r="S30" i="75"/>
  <c r="R30" i="75"/>
  <c r="O30" i="75"/>
  <c r="P30" i="75" s="1"/>
  <c r="K30" i="75"/>
  <c r="I30" i="75"/>
  <c r="E30" i="75"/>
  <c r="D30" i="75"/>
  <c r="BA29" i="75"/>
  <c r="AZ29" i="75"/>
  <c r="AY29" i="75"/>
  <c r="AT29" i="75"/>
  <c r="AS29" i="75"/>
  <c r="AR29" i="75"/>
  <c r="AM29" i="75"/>
  <c r="AL29" i="75"/>
  <c r="AK29" i="75"/>
  <c r="AF29" i="75"/>
  <c r="AE29" i="75"/>
  <c r="AD29" i="75"/>
  <c r="Y29" i="75"/>
  <c r="X29" i="75"/>
  <c r="W29" i="75"/>
  <c r="S29" i="75"/>
  <c r="R29" i="75"/>
  <c r="O29" i="75"/>
  <c r="P29" i="75" s="1"/>
  <c r="K29" i="75"/>
  <c r="I29" i="75"/>
  <c r="E29" i="75"/>
  <c r="D29" i="75"/>
  <c r="BA28" i="75"/>
  <c r="AZ28" i="75"/>
  <c r="AY28" i="75"/>
  <c r="AT28" i="75"/>
  <c r="AS28" i="75"/>
  <c r="AR28" i="75"/>
  <c r="AM28" i="75"/>
  <c r="AL28" i="75"/>
  <c r="AK28" i="75"/>
  <c r="AF28" i="75"/>
  <c r="AE28" i="75"/>
  <c r="AD28" i="75"/>
  <c r="Y28" i="75"/>
  <c r="X28" i="75"/>
  <c r="W28" i="75"/>
  <c r="S28" i="75"/>
  <c r="R28" i="75"/>
  <c r="O28" i="75"/>
  <c r="P28" i="75" s="1"/>
  <c r="K28" i="75"/>
  <c r="I28" i="75"/>
  <c r="E28" i="75"/>
  <c r="D28" i="75"/>
  <c r="BA27" i="75"/>
  <c r="AZ27" i="75"/>
  <c r="AY27" i="75"/>
  <c r="AT27" i="75"/>
  <c r="AS27" i="75"/>
  <c r="AR27" i="75"/>
  <c r="AM27" i="75"/>
  <c r="AL27" i="75"/>
  <c r="AK27" i="75"/>
  <c r="AF27" i="75"/>
  <c r="AE27" i="75"/>
  <c r="AD27" i="75"/>
  <c r="Y27" i="75"/>
  <c r="X27" i="75"/>
  <c r="W27" i="75"/>
  <c r="S27" i="75"/>
  <c r="R27" i="75"/>
  <c r="O27" i="75"/>
  <c r="P27" i="75" s="1"/>
  <c r="K27" i="75"/>
  <c r="I27" i="75"/>
  <c r="E27" i="75"/>
  <c r="F27" i="75" s="1"/>
  <c r="D27" i="75"/>
  <c r="BA26" i="75"/>
  <c r="AZ26" i="75"/>
  <c r="AY26" i="75"/>
  <c r="AT26" i="75"/>
  <c r="AS26" i="75"/>
  <c r="AR26" i="75"/>
  <c r="AM26" i="75"/>
  <c r="AL26" i="75"/>
  <c r="AK26" i="75"/>
  <c r="AF26" i="75"/>
  <c r="AE26" i="75"/>
  <c r="AD26" i="75"/>
  <c r="Y26" i="75"/>
  <c r="X26" i="75"/>
  <c r="W26" i="75"/>
  <c r="S26" i="75"/>
  <c r="R26" i="75"/>
  <c r="O26" i="75"/>
  <c r="P26" i="75" s="1"/>
  <c r="K26" i="75"/>
  <c r="M26" i="75" s="1"/>
  <c r="N26" i="75" s="1"/>
  <c r="I26" i="75"/>
  <c r="E26" i="75"/>
  <c r="D26" i="75"/>
  <c r="BA25" i="75"/>
  <c r="AZ25" i="75"/>
  <c r="AY25" i="75"/>
  <c r="AT25" i="75"/>
  <c r="AS25" i="75"/>
  <c r="AR25" i="75"/>
  <c r="AM25" i="75"/>
  <c r="AL25" i="75"/>
  <c r="AK25" i="75"/>
  <c r="AF25" i="75"/>
  <c r="AE25" i="75"/>
  <c r="AD25" i="75"/>
  <c r="Y25" i="75"/>
  <c r="X25" i="75"/>
  <c r="W25" i="75"/>
  <c r="S25" i="75"/>
  <c r="R25" i="75"/>
  <c r="O25" i="75"/>
  <c r="P25" i="75" s="1"/>
  <c r="K25" i="75"/>
  <c r="I25" i="75"/>
  <c r="E25" i="75"/>
  <c r="D25" i="75"/>
  <c r="BA24" i="75"/>
  <c r="AZ24" i="75"/>
  <c r="AY24" i="75"/>
  <c r="AT24" i="75"/>
  <c r="AS24" i="75"/>
  <c r="AR24" i="75"/>
  <c r="AM24" i="75"/>
  <c r="AL24" i="75"/>
  <c r="AK24" i="75"/>
  <c r="AF24" i="75"/>
  <c r="AE24" i="75"/>
  <c r="AD24" i="75"/>
  <c r="Y24" i="75"/>
  <c r="X24" i="75"/>
  <c r="W24" i="75"/>
  <c r="S24" i="75"/>
  <c r="R24" i="75"/>
  <c r="O24" i="75"/>
  <c r="P24" i="75" s="1"/>
  <c r="M24" i="75"/>
  <c r="N24" i="75" s="1"/>
  <c r="K24" i="75"/>
  <c r="I24" i="75"/>
  <c r="E24" i="75"/>
  <c r="D24" i="75"/>
  <c r="F24" i="75" s="1"/>
  <c r="BA23" i="75"/>
  <c r="AZ23" i="75"/>
  <c r="AY23" i="75"/>
  <c r="AT23" i="75"/>
  <c r="AS23" i="75"/>
  <c r="AR23" i="75"/>
  <c r="AM23" i="75"/>
  <c r="AL23" i="75"/>
  <c r="AK23" i="75"/>
  <c r="AF23" i="75"/>
  <c r="AE23" i="75"/>
  <c r="AD23" i="75"/>
  <c r="Y23" i="75"/>
  <c r="X23" i="75"/>
  <c r="W23" i="75"/>
  <c r="S23" i="75"/>
  <c r="R23" i="75"/>
  <c r="O23" i="75"/>
  <c r="P23" i="75" s="1"/>
  <c r="K23" i="75"/>
  <c r="I23" i="75"/>
  <c r="E23" i="75"/>
  <c r="D23" i="75"/>
  <c r="BA22" i="75"/>
  <c r="AZ22" i="75"/>
  <c r="AY22" i="75"/>
  <c r="AT22" i="75"/>
  <c r="AS22" i="75"/>
  <c r="AR22" i="75"/>
  <c r="AM22" i="75"/>
  <c r="AL22" i="75"/>
  <c r="AK22" i="75"/>
  <c r="AF22" i="75"/>
  <c r="AE22" i="75"/>
  <c r="AD22" i="75"/>
  <c r="Y22" i="75"/>
  <c r="X22" i="75"/>
  <c r="W22" i="75"/>
  <c r="S22" i="75"/>
  <c r="R22" i="75"/>
  <c r="O22" i="75"/>
  <c r="P22" i="75" s="1"/>
  <c r="K22" i="75"/>
  <c r="I22" i="75"/>
  <c r="M22" i="75" s="1"/>
  <c r="N22" i="75" s="1"/>
  <c r="E22" i="75"/>
  <c r="D22" i="75"/>
  <c r="BA21" i="75"/>
  <c r="AZ21" i="75"/>
  <c r="AY21" i="75"/>
  <c r="AT21" i="75"/>
  <c r="AS21" i="75"/>
  <c r="AR21" i="75"/>
  <c r="AM21" i="75"/>
  <c r="AL21" i="75"/>
  <c r="AK21" i="75"/>
  <c r="AF21" i="75"/>
  <c r="AE21" i="75"/>
  <c r="AD21" i="75"/>
  <c r="Y21" i="75"/>
  <c r="X21" i="75"/>
  <c r="W21" i="75"/>
  <c r="S21" i="75"/>
  <c r="R21" i="75"/>
  <c r="O21" i="75"/>
  <c r="P21" i="75" s="1"/>
  <c r="K21" i="75"/>
  <c r="I21" i="75"/>
  <c r="E21" i="75"/>
  <c r="D21" i="75"/>
  <c r="BA20" i="75"/>
  <c r="AZ20" i="75"/>
  <c r="AY20" i="75"/>
  <c r="AT20" i="75"/>
  <c r="AS20" i="75"/>
  <c r="AR20" i="75"/>
  <c r="AM20" i="75"/>
  <c r="AL20" i="75"/>
  <c r="AK20" i="75"/>
  <c r="AF20" i="75"/>
  <c r="AE20" i="75"/>
  <c r="AD20" i="75"/>
  <c r="Y20" i="75"/>
  <c r="X20" i="75"/>
  <c r="W20" i="75"/>
  <c r="S20" i="75"/>
  <c r="R20" i="75"/>
  <c r="O20" i="75"/>
  <c r="P20" i="75" s="1"/>
  <c r="K20" i="75"/>
  <c r="I20" i="75"/>
  <c r="M20" i="75" s="1"/>
  <c r="N20" i="75" s="1"/>
  <c r="E20" i="75"/>
  <c r="D20" i="75"/>
  <c r="BA19" i="75"/>
  <c r="AZ19" i="75"/>
  <c r="AY19" i="75"/>
  <c r="AT19" i="75"/>
  <c r="AS19" i="75"/>
  <c r="AR19" i="75"/>
  <c r="AM19" i="75"/>
  <c r="AL19" i="75"/>
  <c r="AK19" i="75"/>
  <c r="AF19" i="75"/>
  <c r="AE19" i="75"/>
  <c r="AD19" i="75"/>
  <c r="Y19" i="75"/>
  <c r="X19" i="75"/>
  <c r="W19" i="75"/>
  <c r="S19" i="75"/>
  <c r="R19" i="75"/>
  <c r="O19" i="75"/>
  <c r="P19" i="75" s="1"/>
  <c r="K19" i="75"/>
  <c r="I19" i="75"/>
  <c r="E19" i="75"/>
  <c r="D19" i="75"/>
  <c r="BA18" i="75"/>
  <c r="AZ18" i="75"/>
  <c r="AY18" i="75"/>
  <c r="AT18" i="75"/>
  <c r="AS18" i="75"/>
  <c r="AR18" i="75"/>
  <c r="AM18" i="75"/>
  <c r="AL18" i="75"/>
  <c r="AK18" i="75"/>
  <c r="AF18" i="75"/>
  <c r="AE18" i="75"/>
  <c r="AD18" i="75"/>
  <c r="Y18" i="75"/>
  <c r="X18" i="75"/>
  <c r="W18" i="75"/>
  <c r="S18" i="75"/>
  <c r="R18" i="75"/>
  <c r="O18" i="75"/>
  <c r="P18" i="75" s="1"/>
  <c r="K18" i="75"/>
  <c r="I18" i="75"/>
  <c r="M18" i="75" s="1"/>
  <c r="N18" i="75" s="1"/>
  <c r="E18" i="75"/>
  <c r="D18" i="75"/>
  <c r="BA17" i="75"/>
  <c r="AZ17" i="75"/>
  <c r="AY17" i="75"/>
  <c r="AT17" i="75"/>
  <c r="AS17" i="75"/>
  <c r="AR17" i="75"/>
  <c r="AM17" i="75"/>
  <c r="AL17" i="75"/>
  <c r="AK17" i="75"/>
  <c r="AF17" i="75"/>
  <c r="AE17" i="75"/>
  <c r="AD17" i="75"/>
  <c r="Y17" i="75"/>
  <c r="X17" i="75"/>
  <c r="W17" i="75"/>
  <c r="S17" i="75"/>
  <c r="R17" i="75"/>
  <c r="O17" i="75"/>
  <c r="P17" i="75" s="1"/>
  <c r="K17" i="75"/>
  <c r="I17" i="75"/>
  <c r="E17" i="75"/>
  <c r="D17" i="75"/>
  <c r="BA16" i="75"/>
  <c r="AZ16" i="75"/>
  <c r="AY16" i="75"/>
  <c r="AT16" i="75"/>
  <c r="AS16" i="75"/>
  <c r="AR16" i="75"/>
  <c r="AM16" i="75"/>
  <c r="AL16" i="75"/>
  <c r="AK16" i="75"/>
  <c r="AF16" i="75"/>
  <c r="AE16" i="75"/>
  <c r="AD16" i="75"/>
  <c r="Y16" i="75"/>
  <c r="X16" i="75"/>
  <c r="W16" i="75"/>
  <c r="S16" i="75"/>
  <c r="R16" i="75"/>
  <c r="O16" i="75"/>
  <c r="P16" i="75" s="1"/>
  <c r="K16" i="75"/>
  <c r="I16" i="75"/>
  <c r="M16" i="75" s="1"/>
  <c r="N16" i="75" s="1"/>
  <c r="E16" i="75"/>
  <c r="D16" i="75"/>
  <c r="F16" i="75" s="1"/>
  <c r="BA15" i="75"/>
  <c r="AZ15" i="75"/>
  <c r="AY15" i="75"/>
  <c r="AT15" i="75"/>
  <c r="AS15" i="75"/>
  <c r="AR15" i="75"/>
  <c r="AM15" i="75"/>
  <c r="AL15" i="75"/>
  <c r="AK15" i="75"/>
  <c r="AF15" i="75"/>
  <c r="AE15" i="75"/>
  <c r="AD15" i="75"/>
  <c r="Y15" i="75"/>
  <c r="X15" i="75"/>
  <c r="W15" i="75"/>
  <c r="S15" i="75"/>
  <c r="R15" i="75"/>
  <c r="O15" i="75"/>
  <c r="P15" i="75" s="1"/>
  <c r="K15" i="75"/>
  <c r="I15" i="75"/>
  <c r="M15" i="75" s="1"/>
  <c r="N15" i="75" s="1"/>
  <c r="E15" i="75"/>
  <c r="D15" i="75"/>
  <c r="BA14" i="75"/>
  <c r="AZ14" i="75"/>
  <c r="AY14" i="75"/>
  <c r="AT14" i="75"/>
  <c r="AS14" i="75"/>
  <c r="AR14" i="75"/>
  <c r="AM14" i="75"/>
  <c r="AL14" i="75"/>
  <c r="AK14" i="75"/>
  <c r="AF14" i="75"/>
  <c r="AE14" i="75"/>
  <c r="AD14" i="75"/>
  <c r="Y14" i="75"/>
  <c r="X14" i="75"/>
  <c r="W14" i="75"/>
  <c r="S14" i="75"/>
  <c r="R14" i="75"/>
  <c r="O14" i="75"/>
  <c r="P14" i="75" s="1"/>
  <c r="K14" i="75"/>
  <c r="I14" i="75"/>
  <c r="M14" i="75" s="1"/>
  <c r="N14" i="75" s="1"/>
  <c r="E14" i="75"/>
  <c r="D14" i="75"/>
  <c r="BA13" i="75"/>
  <c r="AZ13" i="75"/>
  <c r="AY13" i="75"/>
  <c r="AT13" i="75"/>
  <c r="AS13" i="75"/>
  <c r="AR13" i="75"/>
  <c r="AM13" i="75"/>
  <c r="AL13" i="75"/>
  <c r="AK13" i="75"/>
  <c r="AF13" i="75"/>
  <c r="AE13" i="75"/>
  <c r="AD13" i="75"/>
  <c r="Y13" i="75"/>
  <c r="X13" i="75"/>
  <c r="W13" i="75"/>
  <c r="S13" i="75"/>
  <c r="R13" i="75"/>
  <c r="O13" i="75"/>
  <c r="P13" i="75" s="1"/>
  <c r="K13" i="75"/>
  <c r="I13" i="75"/>
  <c r="E13" i="75"/>
  <c r="D13" i="75"/>
  <c r="BA12" i="75"/>
  <c r="AZ12" i="75"/>
  <c r="AY12" i="75"/>
  <c r="AT12" i="75"/>
  <c r="AS12" i="75"/>
  <c r="AR12" i="75"/>
  <c r="AM12" i="75"/>
  <c r="AL12" i="75"/>
  <c r="AK12" i="75"/>
  <c r="AF12" i="75"/>
  <c r="AE12" i="75"/>
  <c r="AD12" i="75"/>
  <c r="Y12" i="75"/>
  <c r="X12" i="75"/>
  <c r="W12" i="75"/>
  <c r="S12" i="75"/>
  <c r="R12" i="75"/>
  <c r="O12" i="75"/>
  <c r="P12" i="75" s="1"/>
  <c r="K12" i="75"/>
  <c r="I12" i="75"/>
  <c r="E12" i="75"/>
  <c r="D12" i="75"/>
  <c r="BA11" i="75"/>
  <c r="AZ11" i="75"/>
  <c r="AY11" i="75"/>
  <c r="AT11" i="75"/>
  <c r="AS11" i="75"/>
  <c r="AR11" i="75"/>
  <c r="AM11" i="75"/>
  <c r="AL11" i="75"/>
  <c r="AK11" i="75"/>
  <c r="AF11" i="75"/>
  <c r="AE11" i="75"/>
  <c r="AD11" i="75"/>
  <c r="Y11" i="75"/>
  <c r="X11" i="75"/>
  <c r="W11" i="75"/>
  <c r="S11" i="75"/>
  <c r="R11" i="75"/>
  <c r="O11" i="75"/>
  <c r="P11" i="75" s="1"/>
  <c r="I11" i="75"/>
  <c r="K11" i="75" s="1"/>
  <c r="E11" i="75"/>
  <c r="D11" i="75"/>
  <c r="BA10" i="75"/>
  <c r="AZ10" i="75"/>
  <c r="AY10" i="75"/>
  <c r="AT10" i="75"/>
  <c r="AS10" i="75"/>
  <c r="AR10" i="75"/>
  <c r="AM10" i="75"/>
  <c r="AL10" i="75"/>
  <c r="AK10" i="75"/>
  <c r="AF10" i="75"/>
  <c r="AE10" i="75"/>
  <c r="AD10" i="75"/>
  <c r="Y10" i="75"/>
  <c r="X10" i="75"/>
  <c r="W10" i="75"/>
  <c r="S10" i="75"/>
  <c r="R10" i="75"/>
  <c r="O10" i="75"/>
  <c r="P10" i="75" s="1"/>
  <c r="K10" i="75"/>
  <c r="I10" i="75"/>
  <c r="E10" i="75"/>
  <c r="D10" i="75"/>
  <c r="BA9" i="75"/>
  <c r="AZ9" i="75"/>
  <c r="AY9" i="75"/>
  <c r="AT9" i="75"/>
  <c r="AS9" i="75"/>
  <c r="AR9" i="75"/>
  <c r="AM9" i="75"/>
  <c r="AL9" i="75"/>
  <c r="AK9" i="75"/>
  <c r="AF9" i="75"/>
  <c r="AE9" i="75"/>
  <c r="AD9" i="75"/>
  <c r="Y9" i="75"/>
  <c r="X9" i="75"/>
  <c r="W9" i="75"/>
  <c r="S9" i="75"/>
  <c r="R9" i="75"/>
  <c r="O9" i="75"/>
  <c r="P9" i="75" s="1"/>
  <c r="I9" i="75"/>
  <c r="K9" i="75" s="1"/>
  <c r="M9" i="75" s="1"/>
  <c r="N9" i="75" s="1"/>
  <c r="E9" i="75"/>
  <c r="D9" i="75"/>
  <c r="BA8" i="75"/>
  <c r="AZ8" i="75"/>
  <c r="AY8" i="75"/>
  <c r="AT8" i="75"/>
  <c r="AS8" i="75"/>
  <c r="AR8" i="75"/>
  <c r="AM8" i="75"/>
  <c r="AL8" i="75"/>
  <c r="AK8" i="75"/>
  <c r="AF8" i="75"/>
  <c r="AE8" i="75"/>
  <c r="AD8" i="75"/>
  <c r="Y8" i="75"/>
  <c r="X8" i="75"/>
  <c r="W8" i="75"/>
  <c r="S8" i="75"/>
  <c r="R8" i="75"/>
  <c r="O8" i="75"/>
  <c r="P8" i="75" s="1"/>
  <c r="K8" i="75"/>
  <c r="I8" i="75"/>
  <c r="E8" i="75"/>
  <c r="D8" i="75"/>
  <c r="C3" i="75"/>
  <c r="E2" i="75"/>
  <c r="C2" i="75"/>
  <c r="E1" i="75"/>
  <c r="C1" i="75"/>
  <c r="B32" i="74"/>
  <c r="C25" i="65" s="1"/>
  <c r="BB31" i="74"/>
  <c r="BA31" i="74"/>
  <c r="AZ31" i="74"/>
  <c r="AU31" i="74"/>
  <c r="AT31" i="74"/>
  <c r="AS31" i="74"/>
  <c r="AN31" i="74"/>
  <c r="AM31" i="74"/>
  <c r="AL31" i="74"/>
  <c r="AG31" i="74"/>
  <c r="AF31" i="74"/>
  <c r="AE31" i="74"/>
  <c r="Z31" i="74"/>
  <c r="Y31" i="74"/>
  <c r="X31" i="74"/>
  <c r="T31" i="74"/>
  <c r="M31" i="74"/>
  <c r="K31" i="74"/>
  <c r="D31" i="74"/>
  <c r="Q31" i="74" s="1"/>
  <c r="R31" i="74" s="1"/>
  <c r="BB30" i="74"/>
  <c r="BA30" i="74"/>
  <c r="AZ30" i="74"/>
  <c r="AU30" i="74"/>
  <c r="AT30" i="74"/>
  <c r="AS30" i="74"/>
  <c r="AN30" i="74"/>
  <c r="AM30" i="74"/>
  <c r="AL30" i="74"/>
  <c r="AG30" i="74"/>
  <c r="AF30" i="74"/>
  <c r="AE30" i="74"/>
  <c r="Z30" i="74"/>
  <c r="Y30" i="74"/>
  <c r="X30" i="74"/>
  <c r="T30" i="74"/>
  <c r="M30" i="74"/>
  <c r="K30" i="74"/>
  <c r="D30" i="74"/>
  <c r="Q30" i="74" s="1"/>
  <c r="R30" i="74" s="1"/>
  <c r="BB29" i="74"/>
  <c r="BA29" i="74"/>
  <c r="AZ29" i="74"/>
  <c r="AU29" i="74"/>
  <c r="AT29" i="74"/>
  <c r="AS29" i="74"/>
  <c r="AN29" i="74"/>
  <c r="AM29" i="74"/>
  <c r="AL29" i="74"/>
  <c r="AG29" i="74"/>
  <c r="AF29" i="74"/>
  <c r="AE29" i="74"/>
  <c r="Z29" i="74"/>
  <c r="Y29" i="74"/>
  <c r="X29" i="74"/>
  <c r="T29" i="74"/>
  <c r="M29" i="74"/>
  <c r="K29" i="74"/>
  <c r="D29" i="74"/>
  <c r="Q29" i="74" s="1"/>
  <c r="R29" i="74" s="1"/>
  <c r="BB28" i="74"/>
  <c r="BA28" i="74"/>
  <c r="AZ28" i="74"/>
  <c r="AU28" i="74"/>
  <c r="AT28" i="74"/>
  <c r="AS28" i="74"/>
  <c r="AN28" i="74"/>
  <c r="AM28" i="74"/>
  <c r="AL28" i="74"/>
  <c r="AG28" i="74"/>
  <c r="AF28" i="74"/>
  <c r="AE28" i="74"/>
  <c r="Z28" i="74"/>
  <c r="Y28" i="74"/>
  <c r="X28" i="74"/>
  <c r="T28" i="74"/>
  <c r="M28" i="74"/>
  <c r="K28" i="74"/>
  <c r="D28" i="74"/>
  <c r="Q28" i="74" s="1"/>
  <c r="R28" i="74" s="1"/>
  <c r="BB27" i="74"/>
  <c r="BA27" i="74"/>
  <c r="AZ27" i="74"/>
  <c r="AU27" i="74"/>
  <c r="AT27" i="74"/>
  <c r="AS27" i="74"/>
  <c r="AN27" i="74"/>
  <c r="AM27" i="74"/>
  <c r="AL27" i="74"/>
  <c r="AG27" i="74"/>
  <c r="AF27" i="74"/>
  <c r="AE27" i="74"/>
  <c r="Z27" i="74"/>
  <c r="Y27" i="74"/>
  <c r="X27" i="74"/>
  <c r="T27" i="74"/>
  <c r="M27" i="74"/>
  <c r="K27" i="74"/>
  <c r="D27" i="74"/>
  <c r="Q27" i="74" s="1"/>
  <c r="R27" i="74" s="1"/>
  <c r="BB26" i="74"/>
  <c r="BA26" i="74"/>
  <c r="AZ26" i="74"/>
  <c r="AU26" i="74"/>
  <c r="AT26" i="74"/>
  <c r="AS26" i="74"/>
  <c r="AN26" i="74"/>
  <c r="AM26" i="74"/>
  <c r="AL26" i="74"/>
  <c r="AG26" i="74"/>
  <c r="AF26" i="74"/>
  <c r="AE26" i="74"/>
  <c r="Z26" i="74"/>
  <c r="Y26" i="74"/>
  <c r="X26" i="74"/>
  <c r="T26" i="74"/>
  <c r="M26" i="74"/>
  <c r="K26" i="74"/>
  <c r="D26" i="74"/>
  <c r="Q26" i="74" s="1"/>
  <c r="R26" i="74" s="1"/>
  <c r="BB25" i="74"/>
  <c r="BA25" i="74"/>
  <c r="AZ25" i="74"/>
  <c r="AU25" i="74"/>
  <c r="AT25" i="74"/>
  <c r="AS25" i="74"/>
  <c r="AN25" i="74"/>
  <c r="AM25" i="74"/>
  <c r="AL25" i="74"/>
  <c r="AG25" i="74"/>
  <c r="AF25" i="74"/>
  <c r="AE25" i="74"/>
  <c r="Z25" i="74"/>
  <c r="Y25" i="74"/>
  <c r="X25" i="74"/>
  <c r="T25" i="74"/>
  <c r="M25" i="74"/>
  <c r="K25" i="74"/>
  <c r="D25" i="74"/>
  <c r="Q25" i="74" s="1"/>
  <c r="R25" i="74" s="1"/>
  <c r="BB24" i="74"/>
  <c r="BA24" i="74"/>
  <c r="AZ24" i="74"/>
  <c r="AU24" i="74"/>
  <c r="AT24" i="74"/>
  <c r="AS24" i="74"/>
  <c r="AN24" i="74"/>
  <c r="AM24" i="74"/>
  <c r="AL24" i="74"/>
  <c r="AG24" i="74"/>
  <c r="AF24" i="74"/>
  <c r="AE24" i="74"/>
  <c r="Z24" i="74"/>
  <c r="Y24" i="74"/>
  <c r="X24" i="74"/>
  <c r="T24" i="74"/>
  <c r="M24" i="74"/>
  <c r="K24" i="74"/>
  <c r="D24" i="74"/>
  <c r="Q24" i="74" s="1"/>
  <c r="R24" i="74" s="1"/>
  <c r="BB23" i="74"/>
  <c r="BA23" i="74"/>
  <c r="AZ23" i="74"/>
  <c r="AU23" i="74"/>
  <c r="AT23" i="74"/>
  <c r="AS23" i="74"/>
  <c r="AN23" i="74"/>
  <c r="AM23" i="74"/>
  <c r="AL23" i="74"/>
  <c r="AG23" i="74"/>
  <c r="AF23" i="74"/>
  <c r="AE23" i="74"/>
  <c r="Z23" i="74"/>
  <c r="Y23" i="74"/>
  <c r="X23" i="74"/>
  <c r="T23" i="74"/>
  <c r="M23" i="74"/>
  <c r="K23" i="74"/>
  <c r="D23" i="74"/>
  <c r="Q23" i="74" s="1"/>
  <c r="R23" i="74" s="1"/>
  <c r="BB22" i="74"/>
  <c r="BA22" i="74"/>
  <c r="AZ22" i="74"/>
  <c r="AU22" i="74"/>
  <c r="AT22" i="74"/>
  <c r="AS22" i="74"/>
  <c r="AN22" i="74"/>
  <c r="AM22" i="74"/>
  <c r="AL22" i="74"/>
  <c r="AG22" i="74"/>
  <c r="AF22" i="74"/>
  <c r="AE22" i="74"/>
  <c r="Z22" i="74"/>
  <c r="Y22" i="74"/>
  <c r="X22" i="74"/>
  <c r="T22" i="74"/>
  <c r="M22" i="74"/>
  <c r="K22" i="74"/>
  <c r="D22" i="74"/>
  <c r="Q22" i="74" s="1"/>
  <c r="R22" i="74" s="1"/>
  <c r="BB21" i="74"/>
  <c r="BA21" i="74"/>
  <c r="AZ21" i="74"/>
  <c r="AU21" i="74"/>
  <c r="AT21" i="74"/>
  <c r="AS21" i="74"/>
  <c r="AN21" i="74"/>
  <c r="AM21" i="74"/>
  <c r="AL21" i="74"/>
  <c r="AG21" i="74"/>
  <c r="AF21" i="74"/>
  <c r="AE21" i="74"/>
  <c r="Z21" i="74"/>
  <c r="Y21" i="74"/>
  <c r="X21" i="74"/>
  <c r="T21" i="74"/>
  <c r="M21" i="74"/>
  <c r="K21" i="74"/>
  <c r="D21" i="74"/>
  <c r="Q21" i="74" s="1"/>
  <c r="R21" i="74" s="1"/>
  <c r="BB20" i="74"/>
  <c r="BA20" i="74"/>
  <c r="AZ20" i="74"/>
  <c r="AU20" i="74"/>
  <c r="AT20" i="74"/>
  <c r="AS20" i="74"/>
  <c r="AN20" i="74"/>
  <c r="AM20" i="74"/>
  <c r="AL20" i="74"/>
  <c r="AG20" i="74"/>
  <c r="AF20" i="74"/>
  <c r="AE20" i="74"/>
  <c r="Z20" i="74"/>
  <c r="Y20" i="74"/>
  <c r="X20" i="74"/>
  <c r="T20" i="74"/>
  <c r="M20" i="74"/>
  <c r="K20" i="74"/>
  <c r="D20" i="74"/>
  <c r="Q20" i="74" s="1"/>
  <c r="R20" i="74" s="1"/>
  <c r="BB19" i="74"/>
  <c r="BA19" i="74"/>
  <c r="AZ19" i="74"/>
  <c r="AU19" i="74"/>
  <c r="AT19" i="74"/>
  <c r="AS19" i="74"/>
  <c r="AN19" i="74"/>
  <c r="AM19" i="74"/>
  <c r="AL19" i="74"/>
  <c r="AG19" i="74"/>
  <c r="AF19" i="74"/>
  <c r="AE19" i="74"/>
  <c r="Z19" i="74"/>
  <c r="Y19" i="74"/>
  <c r="X19" i="74"/>
  <c r="T19" i="74"/>
  <c r="M19" i="74"/>
  <c r="K19" i="74"/>
  <c r="D19" i="74"/>
  <c r="Q19" i="74" s="1"/>
  <c r="R19" i="74" s="1"/>
  <c r="BB18" i="74"/>
  <c r="BA18" i="74"/>
  <c r="AZ18" i="74"/>
  <c r="AU18" i="74"/>
  <c r="AT18" i="74"/>
  <c r="AS18" i="74"/>
  <c r="AN18" i="74"/>
  <c r="AM18" i="74"/>
  <c r="AL18" i="74"/>
  <c r="AG18" i="74"/>
  <c r="AF18" i="74"/>
  <c r="AE18" i="74"/>
  <c r="Z18" i="74"/>
  <c r="Y18" i="74"/>
  <c r="X18" i="74"/>
  <c r="T18" i="74"/>
  <c r="M18" i="74"/>
  <c r="K18" i="74"/>
  <c r="D18" i="74"/>
  <c r="Q18" i="74" s="1"/>
  <c r="R18" i="74" s="1"/>
  <c r="BB17" i="74"/>
  <c r="BA17" i="74"/>
  <c r="AZ17" i="74"/>
  <c r="AU17" i="74"/>
  <c r="AT17" i="74"/>
  <c r="AS17" i="74"/>
  <c r="AN17" i="74"/>
  <c r="AM17" i="74"/>
  <c r="AL17" i="74"/>
  <c r="AG17" i="74"/>
  <c r="AF17" i="74"/>
  <c r="AE17" i="74"/>
  <c r="Z17" i="74"/>
  <c r="Y17" i="74"/>
  <c r="X17" i="74"/>
  <c r="T17" i="74"/>
  <c r="M17" i="74"/>
  <c r="K17" i="74"/>
  <c r="D17" i="74"/>
  <c r="Q17" i="74" s="1"/>
  <c r="R17" i="74" s="1"/>
  <c r="BB16" i="74"/>
  <c r="BA16" i="74"/>
  <c r="AZ16" i="74"/>
  <c r="AU16" i="74"/>
  <c r="AT16" i="74"/>
  <c r="AS16" i="74"/>
  <c r="AN16" i="74"/>
  <c r="AM16" i="74"/>
  <c r="AL16" i="74"/>
  <c r="AG16" i="74"/>
  <c r="AF16" i="74"/>
  <c r="AE16" i="74"/>
  <c r="Z16" i="74"/>
  <c r="Y16" i="74"/>
  <c r="X16" i="74"/>
  <c r="T16" i="74"/>
  <c r="M16" i="74"/>
  <c r="K16" i="74"/>
  <c r="D16" i="74"/>
  <c r="Q16" i="74" s="1"/>
  <c r="R16" i="74" s="1"/>
  <c r="BB15" i="74"/>
  <c r="BA15" i="74"/>
  <c r="AZ15" i="74"/>
  <c r="AU15" i="74"/>
  <c r="AT15" i="74"/>
  <c r="AS15" i="74"/>
  <c r="AN15" i="74"/>
  <c r="AM15" i="74"/>
  <c r="AL15" i="74"/>
  <c r="AG15" i="74"/>
  <c r="AF15" i="74"/>
  <c r="AE15" i="74"/>
  <c r="Z15" i="74"/>
  <c r="Y15" i="74"/>
  <c r="X15" i="74"/>
  <c r="T15" i="74"/>
  <c r="M15" i="74"/>
  <c r="K15" i="74"/>
  <c r="D15" i="74"/>
  <c r="Q15" i="74" s="1"/>
  <c r="R15" i="74" s="1"/>
  <c r="BB14" i="74"/>
  <c r="BA14" i="74"/>
  <c r="AZ14" i="74"/>
  <c r="AU14" i="74"/>
  <c r="AT14" i="74"/>
  <c r="AS14" i="74"/>
  <c r="AN14" i="74"/>
  <c r="AM14" i="74"/>
  <c r="AL14" i="74"/>
  <c r="AG14" i="74"/>
  <c r="AF14" i="74"/>
  <c r="AE14" i="74"/>
  <c r="Z14" i="74"/>
  <c r="Y14" i="74"/>
  <c r="X14" i="74"/>
  <c r="T14" i="74"/>
  <c r="M14" i="74"/>
  <c r="K14" i="74"/>
  <c r="D14" i="74"/>
  <c r="Q14" i="74" s="1"/>
  <c r="R14" i="74" s="1"/>
  <c r="BB13" i="74"/>
  <c r="BA13" i="74"/>
  <c r="AZ13" i="74"/>
  <c r="AU13" i="74"/>
  <c r="AT13" i="74"/>
  <c r="AS13" i="74"/>
  <c r="AN13" i="74"/>
  <c r="AM13" i="74"/>
  <c r="AL13" i="74"/>
  <c r="AG13" i="74"/>
  <c r="AF13" i="74"/>
  <c r="AE13" i="74"/>
  <c r="Z13" i="74"/>
  <c r="Y13" i="74"/>
  <c r="X13" i="74"/>
  <c r="T13" i="74"/>
  <c r="M13" i="74"/>
  <c r="K13" i="74"/>
  <c r="D13" i="74"/>
  <c r="Q13" i="74" s="1"/>
  <c r="R13" i="74" s="1"/>
  <c r="BB12" i="74"/>
  <c r="BA12" i="74"/>
  <c r="AZ12" i="74"/>
  <c r="AU12" i="74"/>
  <c r="AT12" i="74"/>
  <c r="AS12" i="74"/>
  <c r="AN12" i="74"/>
  <c r="AM12" i="74"/>
  <c r="AL12" i="74"/>
  <c r="AG12" i="74"/>
  <c r="AF12" i="74"/>
  <c r="AE12" i="74"/>
  <c r="Z12" i="74"/>
  <c r="Y12" i="74"/>
  <c r="X12" i="74"/>
  <c r="T12" i="74"/>
  <c r="M12" i="74"/>
  <c r="K12" i="74"/>
  <c r="D12" i="74"/>
  <c r="Q12" i="74" s="1"/>
  <c r="R12" i="74" s="1"/>
  <c r="BB11" i="74"/>
  <c r="BA11" i="74"/>
  <c r="AZ11" i="74"/>
  <c r="AU11" i="74"/>
  <c r="AT11" i="74"/>
  <c r="AS11" i="74"/>
  <c r="AN11" i="74"/>
  <c r="AM11" i="74"/>
  <c r="AL11" i="74"/>
  <c r="AG11" i="74"/>
  <c r="AF11" i="74"/>
  <c r="AE11" i="74"/>
  <c r="Z11" i="74"/>
  <c r="Y11" i="74"/>
  <c r="X11" i="74"/>
  <c r="T11" i="74"/>
  <c r="M11" i="74"/>
  <c r="K11" i="74"/>
  <c r="D11" i="74"/>
  <c r="Q11" i="74" s="1"/>
  <c r="R11" i="74" s="1"/>
  <c r="BB10" i="74"/>
  <c r="BA10" i="74"/>
  <c r="AZ10" i="74"/>
  <c r="AU10" i="74"/>
  <c r="AT10" i="74"/>
  <c r="AS10" i="74"/>
  <c r="AN10" i="74"/>
  <c r="AM10" i="74"/>
  <c r="AL10" i="74"/>
  <c r="AG10" i="74"/>
  <c r="AF10" i="74"/>
  <c r="AE10" i="74"/>
  <c r="Z10" i="74"/>
  <c r="Y10" i="74"/>
  <c r="X10" i="74"/>
  <c r="T10" i="74"/>
  <c r="M10" i="74"/>
  <c r="K10" i="74"/>
  <c r="D10" i="74"/>
  <c r="Q10" i="74" s="1"/>
  <c r="R10" i="74" s="1"/>
  <c r="BB9" i="74"/>
  <c r="BA9" i="74"/>
  <c r="AZ9" i="74"/>
  <c r="AU9" i="74"/>
  <c r="AT9" i="74"/>
  <c r="AS9" i="74"/>
  <c r="AN9" i="74"/>
  <c r="AM9" i="74"/>
  <c r="AL9" i="74"/>
  <c r="AG9" i="74"/>
  <c r="AF9" i="74"/>
  <c r="AE9" i="74"/>
  <c r="Z9" i="74"/>
  <c r="Y9" i="74"/>
  <c r="X9" i="74"/>
  <c r="T9" i="74"/>
  <c r="M9" i="74"/>
  <c r="K9" i="74"/>
  <c r="D9" i="74"/>
  <c r="I9" i="74" s="1"/>
  <c r="BB8" i="74"/>
  <c r="BA8" i="74"/>
  <c r="AZ8" i="74"/>
  <c r="AU8" i="74"/>
  <c r="AT8" i="74"/>
  <c r="AS8" i="74"/>
  <c r="AN8" i="74"/>
  <c r="AM8" i="74"/>
  <c r="AL8" i="74"/>
  <c r="AG8" i="74"/>
  <c r="AF8" i="74"/>
  <c r="AE8" i="74"/>
  <c r="Z8" i="74"/>
  <c r="Y8" i="74"/>
  <c r="X8" i="74"/>
  <c r="T8" i="74"/>
  <c r="M8" i="74"/>
  <c r="K8" i="74"/>
  <c r="D8" i="74"/>
  <c r="Q8" i="74" s="1"/>
  <c r="R8" i="74" s="1"/>
  <c r="C3" i="74"/>
  <c r="E2" i="74"/>
  <c r="C2" i="74"/>
  <c r="E1" i="74"/>
  <c r="C1" i="74"/>
  <c r="D38" i="73"/>
  <c r="B32" i="73"/>
  <c r="C26" i="65" s="1"/>
  <c r="BA31" i="73"/>
  <c r="L31" i="73" s="1"/>
  <c r="BB31" i="73" s="1"/>
  <c r="N31" i="73" s="1"/>
  <c r="O31" i="73" s="1"/>
  <c r="AN31" i="73"/>
  <c r="AM31" i="73"/>
  <c r="AL31" i="73"/>
  <c r="AG31" i="73"/>
  <c r="AF31" i="73"/>
  <c r="AE31" i="73"/>
  <c r="Z31" i="73"/>
  <c r="Y31" i="73"/>
  <c r="X31" i="73"/>
  <c r="Q31" i="73"/>
  <c r="I31" i="73"/>
  <c r="G31" i="73"/>
  <c r="E31" i="73"/>
  <c r="BA30" i="73"/>
  <c r="AN30" i="73"/>
  <c r="AM30" i="73"/>
  <c r="AL30" i="73"/>
  <c r="AG30" i="73"/>
  <c r="AF30" i="73"/>
  <c r="AE30" i="73"/>
  <c r="Z30" i="73"/>
  <c r="Y30" i="73"/>
  <c r="X30" i="73"/>
  <c r="Q30" i="73"/>
  <c r="I30" i="73"/>
  <c r="BB30" i="73" s="1"/>
  <c r="N30" i="73" s="1"/>
  <c r="O30" i="73" s="1"/>
  <c r="E30" i="73"/>
  <c r="BA29" i="73"/>
  <c r="L29" i="73" s="1"/>
  <c r="AN29" i="73"/>
  <c r="AM29" i="73"/>
  <c r="AL29" i="73"/>
  <c r="AG29" i="73"/>
  <c r="AF29" i="73"/>
  <c r="AE29" i="73"/>
  <c r="Z29" i="73"/>
  <c r="Y29" i="73"/>
  <c r="X29" i="73"/>
  <c r="S29" i="73"/>
  <c r="Q29" i="73"/>
  <c r="I29" i="73"/>
  <c r="G29" i="73"/>
  <c r="E29" i="73"/>
  <c r="BA28" i="73"/>
  <c r="L28" i="73" s="1"/>
  <c r="AN28" i="73"/>
  <c r="AM28" i="73"/>
  <c r="AL28" i="73"/>
  <c r="AG28" i="73"/>
  <c r="AF28" i="73"/>
  <c r="AE28" i="73"/>
  <c r="Z28" i="73"/>
  <c r="Y28" i="73"/>
  <c r="X28" i="73"/>
  <c r="S28" i="73"/>
  <c r="Q28" i="73"/>
  <c r="I28" i="73"/>
  <c r="G28" i="73"/>
  <c r="E28" i="73"/>
  <c r="BA27" i="73"/>
  <c r="AN27" i="73"/>
  <c r="AM27" i="73"/>
  <c r="AL27" i="73"/>
  <c r="AG27" i="73"/>
  <c r="AF27" i="73"/>
  <c r="AE27" i="73"/>
  <c r="Z27" i="73"/>
  <c r="Y27" i="73"/>
  <c r="X27" i="73"/>
  <c r="S27" i="73"/>
  <c r="Q27" i="73"/>
  <c r="L27" i="73"/>
  <c r="I27" i="73"/>
  <c r="G27" i="73"/>
  <c r="E27" i="73"/>
  <c r="BA26" i="73"/>
  <c r="L26" i="73" s="1"/>
  <c r="AN26" i="73"/>
  <c r="AM26" i="73"/>
  <c r="AL26" i="73"/>
  <c r="AG26" i="73"/>
  <c r="AF26" i="73"/>
  <c r="AE26" i="73"/>
  <c r="Z26" i="73"/>
  <c r="Y26" i="73"/>
  <c r="X26" i="73"/>
  <c r="S26" i="73"/>
  <c r="Q26" i="73"/>
  <c r="I26" i="73"/>
  <c r="G26" i="73"/>
  <c r="E26" i="73"/>
  <c r="BA25" i="73"/>
  <c r="AN25" i="73"/>
  <c r="AM25" i="73"/>
  <c r="AL25" i="73"/>
  <c r="AG25" i="73"/>
  <c r="AF25" i="73"/>
  <c r="AE25" i="73"/>
  <c r="Z25" i="73"/>
  <c r="Y25" i="73"/>
  <c r="X25" i="73"/>
  <c r="S25" i="73"/>
  <c r="Q25" i="73"/>
  <c r="L25" i="73"/>
  <c r="I25" i="73"/>
  <c r="G25" i="73"/>
  <c r="E25" i="73"/>
  <c r="BA24" i="73"/>
  <c r="L24" i="73" s="1"/>
  <c r="AN24" i="73"/>
  <c r="AM24" i="73"/>
  <c r="AL24" i="73"/>
  <c r="AG24" i="73"/>
  <c r="AF24" i="73"/>
  <c r="AE24" i="73"/>
  <c r="Z24" i="73"/>
  <c r="Y24" i="73"/>
  <c r="X24" i="73"/>
  <c r="S24" i="73"/>
  <c r="Q24" i="73"/>
  <c r="I24" i="73"/>
  <c r="G24" i="73"/>
  <c r="E24" i="73"/>
  <c r="BA23" i="73"/>
  <c r="L23" i="73" s="1"/>
  <c r="AN23" i="73"/>
  <c r="AM23" i="73"/>
  <c r="AL23" i="73"/>
  <c r="AG23" i="73"/>
  <c r="AF23" i="73"/>
  <c r="AE23" i="73"/>
  <c r="Z23" i="73"/>
  <c r="Y23" i="73"/>
  <c r="X23" i="73"/>
  <c r="S23" i="73"/>
  <c r="Q23" i="73"/>
  <c r="I23" i="73"/>
  <c r="G23" i="73"/>
  <c r="E23" i="73"/>
  <c r="BA22" i="73"/>
  <c r="L22" i="73" s="1"/>
  <c r="AN22" i="73"/>
  <c r="AM22" i="73"/>
  <c r="AL22" i="73"/>
  <c r="AG22" i="73"/>
  <c r="AF22" i="73"/>
  <c r="AE22" i="73"/>
  <c r="Z22" i="73"/>
  <c r="Y22" i="73"/>
  <c r="X22" i="73"/>
  <c r="S22" i="73"/>
  <c r="Q22" i="73"/>
  <c r="I22" i="73"/>
  <c r="G22" i="73"/>
  <c r="E22" i="73"/>
  <c r="BA21" i="73"/>
  <c r="AN21" i="73"/>
  <c r="AM21" i="73"/>
  <c r="AL21" i="73"/>
  <c r="AG21" i="73"/>
  <c r="AF21" i="73"/>
  <c r="AE21" i="73"/>
  <c r="Z21" i="73"/>
  <c r="Y21" i="73"/>
  <c r="X21" i="73"/>
  <c r="S21" i="73"/>
  <c r="Q21" i="73"/>
  <c r="L21" i="73"/>
  <c r="I21" i="73"/>
  <c r="G21" i="73"/>
  <c r="E21" i="73"/>
  <c r="BA20" i="73"/>
  <c r="AN20" i="73"/>
  <c r="AM20" i="73"/>
  <c r="AL20" i="73"/>
  <c r="AG20" i="73"/>
  <c r="AF20" i="73"/>
  <c r="AE20" i="73"/>
  <c r="Z20" i="73"/>
  <c r="Y20" i="73"/>
  <c r="X20" i="73"/>
  <c r="S20" i="73"/>
  <c r="Q20" i="73"/>
  <c r="L20" i="73"/>
  <c r="I20" i="73"/>
  <c r="G20" i="73"/>
  <c r="E20" i="73"/>
  <c r="BA19" i="73"/>
  <c r="AN19" i="73"/>
  <c r="AM19" i="73"/>
  <c r="AL19" i="73"/>
  <c r="AG19" i="73"/>
  <c r="AF19" i="73"/>
  <c r="AE19" i="73"/>
  <c r="Z19" i="73"/>
  <c r="Y19" i="73"/>
  <c r="X19" i="73"/>
  <c r="S19" i="73"/>
  <c r="Q19" i="73"/>
  <c r="L19" i="73"/>
  <c r="I19" i="73"/>
  <c r="G19" i="73"/>
  <c r="E19" i="73"/>
  <c r="BB19" i="73" s="1"/>
  <c r="N19" i="73" s="1"/>
  <c r="O19" i="73" s="1"/>
  <c r="BA18" i="73"/>
  <c r="L18" i="73" s="1"/>
  <c r="AN18" i="73"/>
  <c r="AM18" i="73"/>
  <c r="AL18" i="73"/>
  <c r="AG18" i="73"/>
  <c r="AF18" i="73"/>
  <c r="AE18" i="73"/>
  <c r="Z18" i="73"/>
  <c r="Y18" i="73"/>
  <c r="X18" i="73"/>
  <c r="S18" i="73"/>
  <c r="Q18" i="73"/>
  <c r="I18" i="73"/>
  <c r="G18" i="73"/>
  <c r="E18" i="73"/>
  <c r="BA17" i="73"/>
  <c r="AN17" i="73"/>
  <c r="AM17" i="73"/>
  <c r="AL17" i="73"/>
  <c r="AG17" i="73"/>
  <c r="AF17" i="73"/>
  <c r="AE17" i="73"/>
  <c r="Z17" i="73"/>
  <c r="Y17" i="73"/>
  <c r="X17" i="73"/>
  <c r="S17" i="73"/>
  <c r="Q17" i="73"/>
  <c r="L17" i="73"/>
  <c r="I17" i="73"/>
  <c r="G17" i="73"/>
  <c r="E17" i="73"/>
  <c r="BA16" i="73"/>
  <c r="AN16" i="73"/>
  <c r="AM16" i="73"/>
  <c r="AL16" i="73"/>
  <c r="AG16" i="73"/>
  <c r="AF16" i="73"/>
  <c r="AE16" i="73"/>
  <c r="Z16" i="73"/>
  <c r="Y16" i="73"/>
  <c r="X16" i="73"/>
  <c r="S16" i="73"/>
  <c r="Q16" i="73"/>
  <c r="L16" i="73"/>
  <c r="I16" i="73"/>
  <c r="G16" i="73"/>
  <c r="E16" i="73"/>
  <c r="BA15" i="73"/>
  <c r="L15" i="73" s="1"/>
  <c r="AN15" i="73"/>
  <c r="AM15" i="73"/>
  <c r="AL15" i="73"/>
  <c r="AG15" i="73"/>
  <c r="AF15" i="73"/>
  <c r="AE15" i="73"/>
  <c r="Z15" i="73"/>
  <c r="Y15" i="73"/>
  <c r="X15" i="73"/>
  <c r="S15" i="73"/>
  <c r="Q15" i="73"/>
  <c r="I15" i="73"/>
  <c r="G15" i="73"/>
  <c r="E15" i="73"/>
  <c r="BA14" i="73"/>
  <c r="L14" i="73" s="1"/>
  <c r="AN14" i="73"/>
  <c r="AM14" i="73"/>
  <c r="AL14" i="73"/>
  <c r="AG14" i="73"/>
  <c r="AF14" i="73"/>
  <c r="AE14" i="73"/>
  <c r="Z14" i="73"/>
  <c r="Y14" i="73"/>
  <c r="X14" i="73"/>
  <c r="S14" i="73"/>
  <c r="Q14" i="73"/>
  <c r="I14" i="73"/>
  <c r="G14" i="73"/>
  <c r="E14" i="73"/>
  <c r="BA13" i="73"/>
  <c r="AN13" i="73"/>
  <c r="AM13" i="73"/>
  <c r="AL13" i="73"/>
  <c r="AG13" i="73"/>
  <c r="AF13" i="73"/>
  <c r="AE13" i="73"/>
  <c r="Z13" i="73"/>
  <c r="Y13" i="73"/>
  <c r="X13" i="73"/>
  <c r="S13" i="73"/>
  <c r="Q13" i="73"/>
  <c r="L13" i="73"/>
  <c r="I13" i="73"/>
  <c r="G13" i="73"/>
  <c r="E13" i="73"/>
  <c r="BA12" i="73"/>
  <c r="L12" i="73" s="1"/>
  <c r="AN12" i="73"/>
  <c r="AM12" i="73"/>
  <c r="AL12" i="73"/>
  <c r="AG12" i="73"/>
  <c r="AF12" i="73"/>
  <c r="AE12" i="73"/>
  <c r="Z12" i="73"/>
  <c r="Y12" i="73"/>
  <c r="X12" i="73"/>
  <c r="S12" i="73"/>
  <c r="Q12" i="73"/>
  <c r="I12" i="73"/>
  <c r="G12" i="73"/>
  <c r="E12" i="73"/>
  <c r="BA11" i="73"/>
  <c r="L11" i="73" s="1"/>
  <c r="AN11" i="73"/>
  <c r="AM11" i="73"/>
  <c r="AL11" i="73"/>
  <c r="AG11" i="73"/>
  <c r="AF11" i="73"/>
  <c r="AE11" i="73"/>
  <c r="Z11" i="73"/>
  <c r="Y11" i="73"/>
  <c r="X11" i="73"/>
  <c r="S11" i="73"/>
  <c r="Q11" i="73"/>
  <c r="I11" i="73"/>
  <c r="G11" i="73"/>
  <c r="E11" i="73"/>
  <c r="BA10" i="73"/>
  <c r="L10" i="73" s="1"/>
  <c r="AN10" i="73"/>
  <c r="AM10" i="73"/>
  <c r="AL10" i="73"/>
  <c r="AG10" i="73"/>
  <c r="AF10" i="73"/>
  <c r="AE10" i="73"/>
  <c r="Z10" i="73"/>
  <c r="Y10" i="73"/>
  <c r="X10" i="73"/>
  <c r="S10" i="73"/>
  <c r="Q10" i="73"/>
  <c r="I10" i="73"/>
  <c r="G10" i="73"/>
  <c r="E10" i="73"/>
  <c r="D3" i="73"/>
  <c r="F2" i="73"/>
  <c r="D2" i="73"/>
  <c r="F1" i="73"/>
  <c r="D1" i="73"/>
  <c r="CD61" i="72"/>
  <c r="CD60" i="72"/>
  <c r="CD59" i="72"/>
  <c r="CD58" i="72"/>
  <c r="CD57" i="72"/>
  <c r="CD56" i="72"/>
  <c r="CD55" i="72"/>
  <c r="CD54" i="72"/>
  <c r="CD53" i="72"/>
  <c r="CD52" i="72"/>
  <c r="CD51" i="72"/>
  <c r="CD50" i="72"/>
  <c r="CD49" i="72"/>
  <c r="CD48" i="72"/>
  <c r="CD47" i="72"/>
  <c r="CD46" i="72"/>
  <c r="CD45" i="72"/>
  <c r="CD44" i="72"/>
  <c r="CD42" i="72"/>
  <c r="CD41" i="72"/>
  <c r="CD40" i="72"/>
  <c r="CD39" i="72"/>
  <c r="CD38" i="72"/>
  <c r="CD37" i="72"/>
  <c r="CD36" i="72"/>
  <c r="CD35" i="72"/>
  <c r="CD34" i="72"/>
  <c r="CD33" i="72"/>
  <c r="CD32" i="72"/>
  <c r="B32" i="72"/>
  <c r="C22" i="65" s="1"/>
  <c r="CD31" i="72"/>
  <c r="BU31" i="72"/>
  <c r="BT31" i="72"/>
  <c r="BE31" i="72"/>
  <c r="BD31" i="72"/>
  <c r="BC31" i="72"/>
  <c r="AX31" i="72"/>
  <c r="AW31" i="72"/>
  <c r="AV31" i="72"/>
  <c r="AQ31" i="72"/>
  <c r="AP31" i="72"/>
  <c r="AO31" i="72"/>
  <c r="AJ31" i="72"/>
  <c r="AI31" i="72"/>
  <c r="AH31" i="72"/>
  <c r="AC31" i="72"/>
  <c r="AB31" i="72"/>
  <c r="AA31" i="72"/>
  <c r="W31" i="72"/>
  <c r="V31" i="72"/>
  <c r="S31" i="72"/>
  <c r="T31" i="72" s="1"/>
  <c r="O31" i="72"/>
  <c r="L31" i="72"/>
  <c r="K31" i="72"/>
  <c r="I31" i="72"/>
  <c r="E31" i="72"/>
  <c r="D31" i="72"/>
  <c r="CD30" i="72"/>
  <c r="BU30" i="72"/>
  <c r="BT30" i="72"/>
  <c r="BE30" i="72"/>
  <c r="BD30" i="72"/>
  <c r="BC30" i="72"/>
  <c r="AX30" i="72"/>
  <c r="AW30" i="72"/>
  <c r="AV30" i="72"/>
  <c r="AQ30" i="72"/>
  <c r="AP30" i="72"/>
  <c r="AO30" i="72"/>
  <c r="AJ30" i="72"/>
  <c r="AI30" i="72"/>
  <c r="AH30" i="72"/>
  <c r="AC30" i="72"/>
  <c r="AB30" i="72"/>
  <c r="AA30" i="72"/>
  <c r="W30" i="72"/>
  <c r="V30" i="72"/>
  <c r="S30" i="72"/>
  <c r="T30" i="72" s="1"/>
  <c r="O30" i="72"/>
  <c r="L30" i="72"/>
  <c r="K30" i="72"/>
  <c r="I30" i="72"/>
  <c r="E30" i="72"/>
  <c r="D30" i="72"/>
  <c r="CD29" i="72"/>
  <c r="BU29" i="72"/>
  <c r="BT29" i="72"/>
  <c r="BE29" i="72"/>
  <c r="BD29" i="72"/>
  <c r="BC29" i="72"/>
  <c r="AX29" i="72"/>
  <c r="AW29" i="72"/>
  <c r="AV29" i="72"/>
  <c r="AQ29" i="72"/>
  <c r="AP29" i="72"/>
  <c r="AO29" i="72"/>
  <c r="AJ29" i="72"/>
  <c r="AI29" i="72"/>
  <c r="AH29" i="72"/>
  <c r="AC29" i="72"/>
  <c r="AB29" i="72"/>
  <c r="AA29" i="72"/>
  <c r="W29" i="72"/>
  <c r="V29" i="72"/>
  <c r="S29" i="72"/>
  <c r="T29" i="72" s="1"/>
  <c r="O29" i="72"/>
  <c r="L29" i="72"/>
  <c r="K29" i="72"/>
  <c r="I29" i="72"/>
  <c r="E29" i="72"/>
  <c r="D29" i="72"/>
  <c r="CD28" i="72"/>
  <c r="BU28" i="72"/>
  <c r="BT28" i="72"/>
  <c r="BE28" i="72"/>
  <c r="BD28" i="72"/>
  <c r="BC28" i="72"/>
  <c r="AX28" i="72"/>
  <c r="AW28" i="72"/>
  <c r="AV28" i="72"/>
  <c r="AQ28" i="72"/>
  <c r="AP28" i="72"/>
  <c r="AO28" i="72"/>
  <c r="AJ28" i="72"/>
  <c r="AI28" i="72"/>
  <c r="AH28" i="72"/>
  <c r="AC28" i="72"/>
  <c r="AB28" i="72"/>
  <c r="AA28" i="72"/>
  <c r="W28" i="72"/>
  <c r="V28" i="72"/>
  <c r="S28" i="72"/>
  <c r="T28" i="72" s="1"/>
  <c r="O28" i="72"/>
  <c r="L28" i="72"/>
  <c r="K28" i="72"/>
  <c r="I28" i="72"/>
  <c r="E28" i="72"/>
  <c r="D28" i="72"/>
  <c r="CD27" i="72"/>
  <c r="BU27" i="72"/>
  <c r="BT27" i="72"/>
  <c r="BE27" i="72"/>
  <c r="BD27" i="72"/>
  <c r="BC27" i="72"/>
  <c r="AX27" i="72"/>
  <c r="AW27" i="72"/>
  <c r="AV27" i="72"/>
  <c r="AQ27" i="72"/>
  <c r="AP27" i="72"/>
  <c r="AO27" i="72"/>
  <c r="AJ27" i="72"/>
  <c r="AI27" i="72"/>
  <c r="AH27" i="72"/>
  <c r="AC27" i="72"/>
  <c r="AB27" i="72"/>
  <c r="AA27" i="72"/>
  <c r="W27" i="72"/>
  <c r="V27" i="72"/>
  <c r="S27" i="72"/>
  <c r="T27" i="72" s="1"/>
  <c r="O27" i="72"/>
  <c r="L27" i="72"/>
  <c r="K27" i="72"/>
  <c r="I27" i="72"/>
  <c r="E27" i="72"/>
  <c r="D27" i="72"/>
  <c r="CD26" i="72"/>
  <c r="BU26" i="72"/>
  <c r="BT26" i="72"/>
  <c r="BE26" i="72"/>
  <c r="BD26" i="72"/>
  <c r="BC26" i="72"/>
  <c r="AX26" i="72"/>
  <c r="AW26" i="72"/>
  <c r="AV26" i="72"/>
  <c r="AQ26" i="72"/>
  <c r="AP26" i="72"/>
  <c r="AO26" i="72"/>
  <c r="AJ26" i="72"/>
  <c r="AI26" i="72"/>
  <c r="AH26" i="72"/>
  <c r="AC26" i="72"/>
  <c r="AB26" i="72"/>
  <c r="AA26" i="72"/>
  <c r="W26" i="72"/>
  <c r="V26" i="72"/>
  <c r="S26" i="72"/>
  <c r="T26" i="72" s="1"/>
  <c r="O26" i="72"/>
  <c r="L26" i="72"/>
  <c r="K26" i="72"/>
  <c r="I26" i="72"/>
  <c r="E26" i="72"/>
  <c r="D26" i="72"/>
  <c r="CD25" i="72"/>
  <c r="BU25" i="72"/>
  <c r="BT25" i="72"/>
  <c r="BE25" i="72"/>
  <c r="BD25" i="72"/>
  <c r="BC25" i="72"/>
  <c r="AX25" i="72"/>
  <c r="AW25" i="72"/>
  <c r="AV25" i="72"/>
  <c r="AQ25" i="72"/>
  <c r="AP25" i="72"/>
  <c r="AO25" i="72"/>
  <c r="AJ25" i="72"/>
  <c r="AI25" i="72"/>
  <c r="AH25" i="72"/>
  <c r="AC25" i="72"/>
  <c r="AB25" i="72"/>
  <c r="AA25" i="72"/>
  <c r="W25" i="72"/>
  <c r="V25" i="72"/>
  <c r="S25" i="72"/>
  <c r="T25" i="72" s="1"/>
  <c r="O25" i="72"/>
  <c r="L25" i="72"/>
  <c r="K25" i="72"/>
  <c r="I25" i="72"/>
  <c r="E25" i="72"/>
  <c r="D25" i="72"/>
  <c r="CD24" i="72"/>
  <c r="BU24" i="72"/>
  <c r="BT24" i="72"/>
  <c r="BE24" i="72"/>
  <c r="BD24" i="72"/>
  <c r="BC24" i="72"/>
  <c r="AX24" i="72"/>
  <c r="AW24" i="72"/>
  <c r="AV24" i="72"/>
  <c r="AQ24" i="72"/>
  <c r="AP24" i="72"/>
  <c r="AO24" i="72"/>
  <c r="AJ24" i="72"/>
  <c r="AI24" i="72"/>
  <c r="AH24" i="72"/>
  <c r="AC24" i="72"/>
  <c r="AB24" i="72"/>
  <c r="AA24" i="72"/>
  <c r="W24" i="72"/>
  <c r="V24" i="72"/>
  <c r="S24" i="72"/>
  <c r="T24" i="72" s="1"/>
  <c r="O24" i="72"/>
  <c r="L24" i="72"/>
  <c r="K24" i="72"/>
  <c r="I24" i="72"/>
  <c r="E24" i="72"/>
  <c r="D24" i="72"/>
  <c r="CD23" i="72"/>
  <c r="BU23" i="72"/>
  <c r="BT23" i="72"/>
  <c r="BE23" i="72"/>
  <c r="BD23" i="72"/>
  <c r="BC23" i="72"/>
  <c r="AX23" i="72"/>
  <c r="AW23" i="72"/>
  <c r="AV23" i="72"/>
  <c r="AQ23" i="72"/>
  <c r="AP23" i="72"/>
  <c r="AO23" i="72"/>
  <c r="AJ23" i="72"/>
  <c r="AI23" i="72"/>
  <c r="AH23" i="72"/>
  <c r="AC23" i="72"/>
  <c r="AB23" i="72"/>
  <c r="AA23" i="72"/>
  <c r="W23" i="72"/>
  <c r="V23" i="72"/>
  <c r="S23" i="72"/>
  <c r="T23" i="72" s="1"/>
  <c r="O23" i="72"/>
  <c r="L23" i="72"/>
  <c r="K23" i="72"/>
  <c r="I23" i="72"/>
  <c r="E23" i="72"/>
  <c r="D23" i="72"/>
  <c r="CD22" i="72"/>
  <c r="BU22" i="72"/>
  <c r="BT22" i="72"/>
  <c r="BE22" i="72"/>
  <c r="BD22" i="72"/>
  <c r="BC22" i="72"/>
  <c r="AX22" i="72"/>
  <c r="AW22" i="72"/>
  <c r="AV22" i="72"/>
  <c r="AQ22" i="72"/>
  <c r="AP22" i="72"/>
  <c r="AO22" i="72"/>
  <c r="AJ22" i="72"/>
  <c r="AI22" i="72"/>
  <c r="AH22" i="72"/>
  <c r="AC22" i="72"/>
  <c r="AB22" i="72"/>
  <c r="AA22" i="72"/>
  <c r="W22" i="72"/>
  <c r="V22" i="72"/>
  <c r="S22" i="72"/>
  <c r="T22" i="72" s="1"/>
  <c r="O22" i="72"/>
  <c r="L22" i="72"/>
  <c r="K22" i="72"/>
  <c r="I22" i="72"/>
  <c r="E22" i="72"/>
  <c r="D22" i="72"/>
  <c r="CD21" i="72"/>
  <c r="BU21" i="72"/>
  <c r="BT21" i="72"/>
  <c r="BE21" i="72"/>
  <c r="BD21" i="72"/>
  <c r="BC21" i="72"/>
  <c r="AX21" i="72"/>
  <c r="AW21" i="72"/>
  <c r="AV21" i="72"/>
  <c r="AQ21" i="72"/>
  <c r="AP21" i="72"/>
  <c r="AO21" i="72"/>
  <c r="AJ21" i="72"/>
  <c r="AI21" i="72"/>
  <c r="AH21" i="72"/>
  <c r="AC21" i="72"/>
  <c r="AB21" i="72"/>
  <c r="AA21" i="72"/>
  <c r="W21" i="72"/>
  <c r="V21" i="72"/>
  <c r="S21" i="72"/>
  <c r="T21" i="72" s="1"/>
  <c r="O21" i="72"/>
  <c r="L21" i="72"/>
  <c r="K21" i="72"/>
  <c r="I21" i="72"/>
  <c r="E21" i="72"/>
  <c r="D21" i="72"/>
  <c r="CD20" i="72"/>
  <c r="BU20" i="72"/>
  <c r="BT20" i="72"/>
  <c r="BE20" i="72"/>
  <c r="BD20" i="72"/>
  <c r="BC20" i="72"/>
  <c r="AX20" i="72"/>
  <c r="AW20" i="72"/>
  <c r="AV20" i="72"/>
  <c r="AQ20" i="72"/>
  <c r="AP20" i="72"/>
  <c r="AO20" i="72"/>
  <c r="AJ20" i="72"/>
  <c r="AI20" i="72"/>
  <c r="AH20" i="72"/>
  <c r="AC20" i="72"/>
  <c r="AB20" i="72"/>
  <c r="AA20" i="72"/>
  <c r="W20" i="72"/>
  <c r="V20" i="72"/>
  <c r="S20" i="72"/>
  <c r="T20" i="72" s="1"/>
  <c r="O20" i="72"/>
  <c r="L20" i="72"/>
  <c r="K20" i="72"/>
  <c r="I20" i="72"/>
  <c r="E20" i="72"/>
  <c r="D20" i="72"/>
  <c r="CD19" i="72"/>
  <c r="BU19" i="72"/>
  <c r="BT19" i="72"/>
  <c r="BE19" i="72"/>
  <c r="BD19" i="72"/>
  <c r="BC19" i="72"/>
  <c r="AX19" i="72"/>
  <c r="AW19" i="72"/>
  <c r="AV19" i="72"/>
  <c r="AQ19" i="72"/>
  <c r="AP19" i="72"/>
  <c r="AO19" i="72"/>
  <c r="AJ19" i="72"/>
  <c r="AI19" i="72"/>
  <c r="AH19" i="72"/>
  <c r="AC19" i="72"/>
  <c r="AB19" i="72"/>
  <c r="AA19" i="72"/>
  <c r="W19" i="72"/>
  <c r="V19" i="72"/>
  <c r="S19" i="72"/>
  <c r="T19" i="72" s="1"/>
  <c r="O19" i="72"/>
  <c r="L19" i="72"/>
  <c r="K19" i="72"/>
  <c r="I19" i="72"/>
  <c r="E19" i="72"/>
  <c r="D19" i="72"/>
  <c r="CD18" i="72"/>
  <c r="BU18" i="72"/>
  <c r="BT18" i="72"/>
  <c r="BE18" i="72"/>
  <c r="BD18" i="72"/>
  <c r="BC18" i="72"/>
  <c r="AX18" i="72"/>
  <c r="AW18" i="72"/>
  <c r="AV18" i="72"/>
  <c r="AQ18" i="72"/>
  <c r="AP18" i="72"/>
  <c r="AO18" i="72"/>
  <c r="AJ18" i="72"/>
  <c r="AI18" i="72"/>
  <c r="AH18" i="72"/>
  <c r="AC18" i="72"/>
  <c r="AB18" i="72"/>
  <c r="AA18" i="72"/>
  <c r="W18" i="72"/>
  <c r="V18" i="72"/>
  <c r="S18" i="72"/>
  <c r="T18" i="72" s="1"/>
  <c r="O18" i="72"/>
  <c r="L18" i="72"/>
  <c r="K18" i="72"/>
  <c r="I18" i="72"/>
  <c r="E18" i="72"/>
  <c r="D18" i="72"/>
  <c r="CD17" i="72"/>
  <c r="BU17" i="72"/>
  <c r="BT17" i="72"/>
  <c r="BE17" i="72"/>
  <c r="BD17" i="72"/>
  <c r="BC17" i="72"/>
  <c r="AX17" i="72"/>
  <c r="AW17" i="72"/>
  <c r="AV17" i="72"/>
  <c r="AQ17" i="72"/>
  <c r="AP17" i="72"/>
  <c r="AO17" i="72"/>
  <c r="AJ17" i="72"/>
  <c r="AI17" i="72"/>
  <c r="AH17" i="72"/>
  <c r="AC17" i="72"/>
  <c r="AB17" i="72"/>
  <c r="AA17" i="72"/>
  <c r="W17" i="72"/>
  <c r="V17" i="72"/>
  <c r="S17" i="72"/>
  <c r="T17" i="72" s="1"/>
  <c r="O17" i="72"/>
  <c r="L17" i="72"/>
  <c r="K17" i="72"/>
  <c r="I17" i="72"/>
  <c r="E17" i="72"/>
  <c r="D17" i="72"/>
  <c r="CD16" i="72"/>
  <c r="BU16" i="72"/>
  <c r="BT16" i="72"/>
  <c r="BE16" i="72"/>
  <c r="BD16" i="72"/>
  <c r="BC16" i="72"/>
  <c r="AX16" i="72"/>
  <c r="AW16" i="72"/>
  <c r="AV16" i="72"/>
  <c r="AQ16" i="72"/>
  <c r="AP16" i="72"/>
  <c r="AO16" i="72"/>
  <c r="AJ16" i="72"/>
  <c r="AI16" i="72"/>
  <c r="AH16" i="72"/>
  <c r="AC16" i="72"/>
  <c r="AB16" i="72"/>
  <c r="AA16" i="72"/>
  <c r="W16" i="72"/>
  <c r="V16" i="72"/>
  <c r="S16" i="72"/>
  <c r="T16" i="72" s="1"/>
  <c r="O16" i="72"/>
  <c r="L16" i="72"/>
  <c r="K16" i="72"/>
  <c r="I16" i="72"/>
  <c r="E16" i="72"/>
  <c r="D16" i="72"/>
  <c r="CD15" i="72"/>
  <c r="BU15" i="72"/>
  <c r="BT15" i="72"/>
  <c r="BE15" i="72"/>
  <c r="BD15" i="72"/>
  <c r="BC15" i="72"/>
  <c r="AX15" i="72"/>
  <c r="AW15" i="72"/>
  <c r="AV15" i="72"/>
  <c r="AQ15" i="72"/>
  <c r="AP15" i="72"/>
  <c r="AO15" i="72"/>
  <c r="AJ15" i="72"/>
  <c r="AI15" i="72"/>
  <c r="AH15" i="72"/>
  <c r="AC15" i="72"/>
  <c r="AB15" i="72"/>
  <c r="AA15" i="72"/>
  <c r="W15" i="72"/>
  <c r="V15" i="72"/>
  <c r="S15" i="72"/>
  <c r="T15" i="72" s="1"/>
  <c r="O15" i="72"/>
  <c r="L15" i="72"/>
  <c r="K15" i="72"/>
  <c r="I15" i="72"/>
  <c r="E15" i="72"/>
  <c r="D15" i="72"/>
  <c r="CD14" i="72"/>
  <c r="BU14" i="72"/>
  <c r="BT14" i="72"/>
  <c r="BE14" i="72"/>
  <c r="BD14" i="72"/>
  <c r="BC14" i="72"/>
  <c r="AX14" i="72"/>
  <c r="AW14" i="72"/>
  <c r="AV14" i="72"/>
  <c r="AQ14" i="72"/>
  <c r="AP14" i="72"/>
  <c r="AO14" i="72"/>
  <c r="AJ14" i="72"/>
  <c r="AI14" i="72"/>
  <c r="AH14" i="72"/>
  <c r="AC14" i="72"/>
  <c r="AB14" i="72"/>
  <c r="AA14" i="72"/>
  <c r="W14" i="72"/>
  <c r="V14" i="72"/>
  <c r="S14" i="72"/>
  <c r="T14" i="72" s="1"/>
  <c r="O14" i="72"/>
  <c r="L14" i="72"/>
  <c r="K14" i="72"/>
  <c r="I14" i="72"/>
  <c r="E14" i="72"/>
  <c r="D14" i="72"/>
  <c r="CD13" i="72"/>
  <c r="BU13" i="72"/>
  <c r="BT13" i="72"/>
  <c r="BE13" i="72"/>
  <c r="BD13" i="72"/>
  <c r="BC13" i="72"/>
  <c r="AX13" i="72"/>
  <c r="AW13" i="72"/>
  <c r="AV13" i="72"/>
  <c r="AQ13" i="72"/>
  <c r="AP13" i="72"/>
  <c r="AO13" i="72"/>
  <c r="AJ13" i="72"/>
  <c r="AI13" i="72"/>
  <c r="AH13" i="72"/>
  <c r="AC13" i="72"/>
  <c r="AB13" i="72"/>
  <c r="AA13" i="72"/>
  <c r="W13" i="72"/>
  <c r="V13" i="72"/>
  <c r="S13" i="72"/>
  <c r="T13" i="72" s="1"/>
  <c r="O13" i="72"/>
  <c r="L13" i="72"/>
  <c r="K13" i="72"/>
  <c r="I13" i="72"/>
  <c r="E13" i="72"/>
  <c r="D13" i="72"/>
  <c r="CD12" i="72"/>
  <c r="BU12" i="72"/>
  <c r="BT12" i="72"/>
  <c r="BE12" i="72"/>
  <c r="BD12" i="72"/>
  <c r="BC12" i="72"/>
  <c r="AX12" i="72"/>
  <c r="AW12" i="72"/>
  <c r="AV12" i="72"/>
  <c r="AQ12" i="72"/>
  <c r="AP12" i="72"/>
  <c r="AO12" i="72"/>
  <c r="AJ12" i="72"/>
  <c r="AI12" i="72"/>
  <c r="AH12" i="72"/>
  <c r="AC12" i="72"/>
  <c r="AB12" i="72"/>
  <c r="AA12" i="72"/>
  <c r="W12" i="72"/>
  <c r="V12" i="72"/>
  <c r="S12" i="72"/>
  <c r="T12" i="72" s="1"/>
  <c r="O12" i="72"/>
  <c r="L12" i="72"/>
  <c r="K12" i="72"/>
  <c r="I12" i="72"/>
  <c r="E12" i="72"/>
  <c r="D12" i="72"/>
  <c r="CD11" i="72"/>
  <c r="BU11" i="72"/>
  <c r="BT11" i="72"/>
  <c r="BE11" i="72"/>
  <c r="BD11" i="72"/>
  <c r="BC11" i="72"/>
  <c r="AX11" i="72"/>
  <c r="AW11" i="72"/>
  <c r="AV11" i="72"/>
  <c r="AQ11" i="72"/>
  <c r="AP11" i="72"/>
  <c r="AO11" i="72"/>
  <c r="AJ11" i="72"/>
  <c r="AI11" i="72"/>
  <c r="AH11" i="72"/>
  <c r="AC11" i="72"/>
  <c r="AB11" i="72"/>
  <c r="AA11" i="72"/>
  <c r="W11" i="72"/>
  <c r="V11" i="72"/>
  <c r="S11" i="72"/>
  <c r="T11" i="72" s="1"/>
  <c r="O11" i="72"/>
  <c r="L11" i="72"/>
  <c r="K11" i="72"/>
  <c r="I11" i="72"/>
  <c r="E11" i="72"/>
  <c r="D11" i="72"/>
  <c r="CD10" i="72"/>
  <c r="BU10" i="72"/>
  <c r="BT10" i="72"/>
  <c r="BE10" i="72"/>
  <c r="BD10" i="72"/>
  <c r="BC10" i="72"/>
  <c r="AX10" i="72"/>
  <c r="AW10" i="72"/>
  <c r="AV10" i="72"/>
  <c r="AQ10" i="72"/>
  <c r="AP10" i="72"/>
  <c r="AO10" i="72"/>
  <c r="AJ10" i="72"/>
  <c r="AI10" i="72"/>
  <c r="AH10" i="72"/>
  <c r="AC10" i="72"/>
  <c r="AB10" i="72"/>
  <c r="AA10" i="72"/>
  <c r="W10" i="72"/>
  <c r="V10" i="72"/>
  <c r="S10" i="72"/>
  <c r="T10" i="72" s="1"/>
  <c r="O10" i="72"/>
  <c r="L10" i="72"/>
  <c r="K10" i="72"/>
  <c r="I10" i="72"/>
  <c r="E10" i="72"/>
  <c r="D10" i="72"/>
  <c r="CD9" i="72"/>
  <c r="BU9" i="72"/>
  <c r="BT9" i="72"/>
  <c r="BE9" i="72"/>
  <c r="BD9" i="72"/>
  <c r="BC9" i="72"/>
  <c r="AX9" i="72"/>
  <c r="AW9" i="72"/>
  <c r="AV9" i="72"/>
  <c r="AQ9" i="72"/>
  <c r="AP9" i="72"/>
  <c r="AO9" i="72"/>
  <c r="AJ9" i="72"/>
  <c r="AI9" i="72"/>
  <c r="AH9" i="72"/>
  <c r="AC9" i="72"/>
  <c r="AB9" i="72"/>
  <c r="AA9" i="72"/>
  <c r="W9" i="72"/>
  <c r="V9" i="72"/>
  <c r="S9" i="72"/>
  <c r="T9" i="72" s="1"/>
  <c r="O9" i="72"/>
  <c r="L9" i="72"/>
  <c r="K9" i="72"/>
  <c r="I9" i="72"/>
  <c r="E9" i="72"/>
  <c r="D9" i="72"/>
  <c r="CD8" i="72"/>
  <c r="BU8" i="72"/>
  <c r="BT8" i="72"/>
  <c r="BE8" i="72"/>
  <c r="BD8" i="72"/>
  <c r="BC8" i="72"/>
  <c r="AX8" i="72"/>
  <c r="AW8" i="72"/>
  <c r="AV8" i="72"/>
  <c r="AQ8" i="72"/>
  <c r="AP8" i="72"/>
  <c r="AO8" i="72"/>
  <c r="AJ8" i="72"/>
  <c r="AI8" i="72"/>
  <c r="AH8" i="72"/>
  <c r="AC8" i="72"/>
  <c r="AB8" i="72"/>
  <c r="AA8" i="72"/>
  <c r="W8" i="72"/>
  <c r="V8" i="72"/>
  <c r="S8" i="72"/>
  <c r="T8" i="72" s="1"/>
  <c r="O8" i="72"/>
  <c r="L8" i="72"/>
  <c r="K8" i="72"/>
  <c r="I8" i="72"/>
  <c r="E8" i="72"/>
  <c r="D8" i="72"/>
  <c r="CD7" i="72"/>
  <c r="CD6" i="72"/>
  <c r="CD5" i="72"/>
  <c r="CD4" i="72"/>
  <c r="CD3" i="72"/>
  <c r="S9" i="66"/>
  <c r="S10" i="66"/>
  <c r="S11" i="66"/>
  <c r="S12" i="66"/>
  <c r="S13" i="66"/>
  <c r="S14" i="66"/>
  <c r="S15" i="66"/>
  <c r="S16" i="66"/>
  <c r="S17" i="66"/>
  <c r="S18" i="66"/>
  <c r="S19" i="66"/>
  <c r="S20" i="66"/>
  <c r="S21" i="66"/>
  <c r="S22" i="66"/>
  <c r="S23" i="66"/>
  <c r="S24" i="66"/>
  <c r="S25" i="66"/>
  <c r="S26" i="66"/>
  <c r="S27" i="66"/>
  <c r="S28" i="66"/>
  <c r="S29" i="66"/>
  <c r="S30" i="66"/>
  <c r="S31" i="66"/>
  <c r="S8" i="66"/>
  <c r="W9" i="41"/>
  <c r="W10" i="41"/>
  <c r="W11" i="41"/>
  <c r="W12" i="41"/>
  <c r="W13" i="41"/>
  <c r="W14" i="41"/>
  <c r="W15" i="41"/>
  <c r="W16" i="41"/>
  <c r="W17" i="41"/>
  <c r="W18" i="41"/>
  <c r="W19" i="41"/>
  <c r="W20" i="41"/>
  <c r="W21" i="41"/>
  <c r="W22" i="41"/>
  <c r="W23" i="41"/>
  <c r="W24" i="41"/>
  <c r="W25" i="41"/>
  <c r="W26" i="41"/>
  <c r="W27" i="41"/>
  <c r="W28" i="41"/>
  <c r="W29" i="41"/>
  <c r="W30" i="41"/>
  <c r="W31" i="41"/>
  <c r="W8" i="41"/>
  <c r="D10" i="41"/>
  <c r="M25" i="75" l="1"/>
  <c r="N25" i="75" s="1"/>
  <c r="G27" i="72"/>
  <c r="Q27" i="72" s="1"/>
  <c r="R27" i="72" s="1"/>
  <c r="M13" i="75"/>
  <c r="N13" i="75" s="1"/>
  <c r="F18" i="75"/>
  <c r="N32" i="76"/>
  <c r="D12" i="65" s="1"/>
  <c r="F12" i="65" s="1"/>
  <c r="G19" i="72"/>
  <c r="I12" i="65"/>
  <c r="N12" i="65" s="1"/>
  <c r="AW33" i="76"/>
  <c r="AQ33" i="76" s="1"/>
  <c r="K12" i="65"/>
  <c r="P12" i="65" s="1"/>
  <c r="AY33" i="76"/>
  <c r="AS33" i="76" s="1"/>
  <c r="M12" i="65"/>
  <c r="R12" i="65" s="1"/>
  <c r="AZ33" i="76"/>
  <c r="AT33" i="76" s="1"/>
  <c r="J12" i="65"/>
  <c r="O12" i="65" s="1"/>
  <c r="AV33" i="76"/>
  <c r="AP33" i="76" s="1"/>
  <c r="L12" i="65"/>
  <c r="Q12" i="65" s="1"/>
  <c r="AX33" i="76"/>
  <c r="AR33" i="76" s="1"/>
  <c r="G31" i="72"/>
  <c r="G10" i="72"/>
  <c r="G14" i="72"/>
  <c r="Q14" i="72" s="1"/>
  <c r="R14" i="72" s="1"/>
  <c r="G21" i="72"/>
  <c r="Q21" i="72" s="1"/>
  <c r="R21" i="72" s="1"/>
  <c r="I12" i="74"/>
  <c r="BB16" i="73"/>
  <c r="N16" i="73" s="1"/>
  <c r="O16" i="73" s="1"/>
  <c r="M10" i="75"/>
  <c r="N10" i="75" s="1"/>
  <c r="M8" i="75"/>
  <c r="N8" i="75" s="1"/>
  <c r="F10" i="75"/>
  <c r="I19" i="74"/>
  <c r="G11" i="72"/>
  <c r="Q11" i="72" s="1"/>
  <c r="R11" i="72" s="1"/>
  <c r="C27" i="65"/>
  <c r="K28" i="65" s="1"/>
  <c r="M12" i="75"/>
  <c r="N12" i="75" s="1"/>
  <c r="M17" i="75"/>
  <c r="N17" i="75" s="1"/>
  <c r="F19" i="75"/>
  <c r="M23" i="75"/>
  <c r="N23" i="75" s="1"/>
  <c r="M27" i="75"/>
  <c r="N27" i="75" s="1"/>
  <c r="F28" i="75"/>
  <c r="M29" i="75"/>
  <c r="N29" i="75" s="1"/>
  <c r="M31" i="75"/>
  <c r="N31" i="75" s="1"/>
  <c r="M11" i="75"/>
  <c r="N11" i="75" s="1"/>
  <c r="F12" i="75"/>
  <c r="F14" i="75"/>
  <c r="F17" i="75"/>
  <c r="M19" i="75"/>
  <c r="N19" i="75" s="1"/>
  <c r="M28" i="75"/>
  <c r="N28" i="75" s="1"/>
  <c r="M30" i="75"/>
  <c r="N30" i="75" s="1"/>
  <c r="BD8" i="75"/>
  <c r="BJ8" i="75" s="1"/>
  <c r="BD10" i="75"/>
  <c r="BJ10" i="75" s="1"/>
  <c r="BG28" i="75"/>
  <c r="BM28" i="75" s="1"/>
  <c r="BG12" i="75"/>
  <c r="BM12" i="75" s="1"/>
  <c r="BF12" i="75"/>
  <c r="BL12" i="75" s="1"/>
  <c r="BE17" i="75"/>
  <c r="BK17" i="75" s="1"/>
  <c r="BD24" i="75"/>
  <c r="BJ24" i="75" s="1"/>
  <c r="BG31" i="75"/>
  <c r="BM31" i="75" s="1"/>
  <c r="AS23" i="73"/>
  <c r="AY23" i="73" s="1"/>
  <c r="AQ25" i="73"/>
  <c r="AW25" i="73" s="1"/>
  <c r="AP29" i="73"/>
  <c r="AV29" i="73" s="1"/>
  <c r="O11" i="42"/>
  <c r="Q11" i="42" s="1"/>
  <c r="N11" i="42"/>
  <c r="O15" i="42"/>
  <c r="Q15" i="42" s="1"/>
  <c r="N15" i="42"/>
  <c r="O12" i="42"/>
  <c r="Q12" i="42" s="1"/>
  <c r="N12" i="42"/>
  <c r="O8" i="42"/>
  <c r="Q8" i="42" s="1"/>
  <c r="N8" i="42"/>
  <c r="O19" i="42"/>
  <c r="Q19" i="42" s="1"/>
  <c r="N19" i="42"/>
  <c r="O16" i="42"/>
  <c r="Q16" i="42" s="1"/>
  <c r="N16" i="42"/>
  <c r="O9" i="42"/>
  <c r="Q9" i="42" s="1"/>
  <c r="N9" i="42"/>
  <c r="O21" i="42"/>
  <c r="Q21" i="42" s="1"/>
  <c r="N21" i="42"/>
  <c r="AS11" i="73"/>
  <c r="AY11" i="73" s="1"/>
  <c r="AT23" i="73"/>
  <c r="AZ23" i="73" s="1"/>
  <c r="BE15" i="75"/>
  <c r="BK15" i="75" s="1"/>
  <c r="BE19" i="75"/>
  <c r="BK19" i="75" s="1"/>
  <c r="AS15" i="73"/>
  <c r="AY15" i="73" s="1"/>
  <c r="AP17" i="73"/>
  <c r="AV17" i="73" s="1"/>
  <c r="AP20" i="73"/>
  <c r="AV20" i="73" s="1"/>
  <c r="AT20" i="73"/>
  <c r="AZ20" i="73" s="1"/>
  <c r="AT22" i="73"/>
  <c r="AZ22" i="73" s="1"/>
  <c r="AR27" i="73"/>
  <c r="AX27" i="73" s="1"/>
  <c r="AS30" i="73"/>
  <c r="AY30" i="73" s="1"/>
  <c r="AT31" i="73"/>
  <c r="AZ31" i="73" s="1"/>
  <c r="BD14" i="75"/>
  <c r="BJ14" i="75" s="1"/>
  <c r="BE18" i="75"/>
  <c r="BK18" i="75" s="1"/>
  <c r="BE27" i="75"/>
  <c r="BK27" i="75" s="1"/>
  <c r="BF28" i="75"/>
  <c r="BL28" i="75" s="1"/>
  <c r="BF29" i="75"/>
  <c r="BL29" i="75" s="1"/>
  <c r="AP13" i="73"/>
  <c r="AV13" i="73" s="1"/>
  <c r="AT18" i="73"/>
  <c r="AZ18" i="73" s="1"/>
  <c r="AT24" i="73"/>
  <c r="AZ24" i="73" s="1"/>
  <c r="AR25" i="73"/>
  <c r="AX25" i="73" s="1"/>
  <c r="AR26" i="73"/>
  <c r="AX26" i="73" s="1"/>
  <c r="AT26" i="73"/>
  <c r="AZ26" i="73" s="1"/>
  <c r="BF31" i="75"/>
  <c r="BL31" i="75" s="1"/>
  <c r="BE11" i="75"/>
  <c r="BK11" i="75" s="1"/>
  <c r="BE16" i="75"/>
  <c r="BK16" i="75" s="1"/>
  <c r="BG20" i="75"/>
  <c r="BM20" i="75" s="1"/>
  <c r="BG22" i="75"/>
  <c r="BM22" i="75" s="1"/>
  <c r="BF22" i="75"/>
  <c r="BL22" i="75" s="1"/>
  <c r="BF25" i="75"/>
  <c r="BL25" i="75" s="1"/>
  <c r="G12" i="72"/>
  <c r="Q12" i="72" s="1"/>
  <c r="R12" i="72" s="1"/>
  <c r="G15" i="72"/>
  <c r="Q15" i="72" s="1"/>
  <c r="R15" i="72" s="1"/>
  <c r="G28" i="72"/>
  <c r="Q28" i="72" s="1"/>
  <c r="R28" i="72" s="1"/>
  <c r="AT10" i="73"/>
  <c r="AZ10" i="73" s="1"/>
  <c r="BB11" i="73"/>
  <c r="N11" i="73" s="1"/>
  <c r="O11" i="73" s="1"/>
  <c r="AT11" i="73"/>
  <c r="AZ11" i="73" s="1"/>
  <c r="AT12" i="73"/>
  <c r="AZ12" i="73" s="1"/>
  <c r="AR13" i="73"/>
  <c r="AX13" i="73" s="1"/>
  <c r="AQ13" i="73"/>
  <c r="AW13" i="73" s="1"/>
  <c r="AR15" i="73"/>
  <c r="AX15" i="73" s="1"/>
  <c r="AQ16" i="73"/>
  <c r="AW16" i="73" s="1"/>
  <c r="AR17" i="73"/>
  <c r="AX17" i="73" s="1"/>
  <c r="AS18" i="73"/>
  <c r="AY18" i="73" s="1"/>
  <c r="AR21" i="73"/>
  <c r="AX21" i="73" s="1"/>
  <c r="BB25" i="73"/>
  <c r="N25" i="73" s="1"/>
  <c r="O25" i="73" s="1"/>
  <c r="AT25" i="73"/>
  <c r="AZ25" i="73" s="1"/>
  <c r="AR29" i="73"/>
  <c r="AX29" i="73" s="1"/>
  <c r="AQ29" i="73"/>
  <c r="AW29" i="73" s="1"/>
  <c r="BG8" i="75"/>
  <c r="BM8" i="75" s="1"/>
  <c r="BF8" i="75"/>
  <c r="BL8" i="75" s="1"/>
  <c r="BE9" i="75"/>
  <c r="BK9" i="75" s="1"/>
  <c r="BG10" i="75"/>
  <c r="BM10" i="75" s="1"/>
  <c r="BF10" i="75"/>
  <c r="BL10" i="75" s="1"/>
  <c r="BD12" i="75"/>
  <c r="BJ12" i="75" s="1"/>
  <c r="BE13" i="75"/>
  <c r="BK13" i="75" s="1"/>
  <c r="BG14" i="75"/>
  <c r="BM14" i="75" s="1"/>
  <c r="BF14" i="75"/>
  <c r="BL14" i="75" s="1"/>
  <c r="BD20" i="75"/>
  <c r="BJ20" i="75" s="1"/>
  <c r="BG21" i="75"/>
  <c r="BM21" i="75" s="1"/>
  <c r="BD21" i="75"/>
  <c r="BJ21" i="75" s="1"/>
  <c r="BE23" i="75"/>
  <c r="BK23" i="75" s="1"/>
  <c r="BG24" i="75"/>
  <c r="BM24" i="75" s="1"/>
  <c r="F25" i="75"/>
  <c r="F26" i="75"/>
  <c r="BG27" i="75"/>
  <c r="BM27" i="75" s="1"/>
  <c r="BF27" i="75"/>
  <c r="BL27" i="75" s="1"/>
  <c r="BG29" i="75"/>
  <c r="BM29" i="75" s="1"/>
  <c r="BG30" i="75"/>
  <c r="BM30" i="75" s="1"/>
  <c r="BF30" i="75"/>
  <c r="BL30" i="75" s="1"/>
  <c r="AT13" i="73"/>
  <c r="AZ13" i="73" s="1"/>
  <c r="AR14" i="73"/>
  <c r="AX14" i="73" s="1"/>
  <c r="AT14" i="73"/>
  <c r="AZ14" i="73" s="1"/>
  <c r="AS16" i="73"/>
  <c r="AY16" i="73" s="1"/>
  <c r="AT17" i="73"/>
  <c r="AZ17" i="73" s="1"/>
  <c r="AQ17" i="73"/>
  <c r="AW17" i="73" s="1"/>
  <c r="AR18" i="73"/>
  <c r="AX18" i="73" s="1"/>
  <c r="AR19" i="73"/>
  <c r="AX19" i="73" s="1"/>
  <c r="AQ20" i="73"/>
  <c r="AW20" i="73" s="1"/>
  <c r="BB21" i="73"/>
  <c r="N21" i="73" s="1"/>
  <c r="O21" i="73" s="1"/>
  <c r="AT21" i="73"/>
  <c r="AZ21" i="73" s="1"/>
  <c r="AQ21" i="73"/>
  <c r="AW21" i="73" s="1"/>
  <c r="AR22" i="73"/>
  <c r="AX22" i="73" s="1"/>
  <c r="AR23" i="73"/>
  <c r="AX23" i="73" s="1"/>
  <c r="AQ24" i="73"/>
  <c r="AW24" i="73" s="1"/>
  <c r="AR24" i="73"/>
  <c r="AX24" i="73" s="1"/>
  <c r="BB27" i="73"/>
  <c r="N27" i="73" s="1"/>
  <c r="O27" i="73" s="1"/>
  <c r="AT27" i="73"/>
  <c r="AZ27" i="73" s="1"/>
  <c r="AT28" i="73"/>
  <c r="AZ28" i="73" s="1"/>
  <c r="AT29" i="73"/>
  <c r="AZ29" i="73" s="1"/>
  <c r="AR30" i="73"/>
  <c r="AX30" i="73" s="1"/>
  <c r="AQ31" i="73"/>
  <c r="AW31" i="73" s="1"/>
  <c r="AR31" i="73"/>
  <c r="AX31" i="73" s="1"/>
  <c r="F9" i="75"/>
  <c r="BG9" i="75"/>
  <c r="BM9" i="75" s="1"/>
  <c r="BF9" i="75"/>
  <c r="BL9" i="75" s="1"/>
  <c r="F11" i="75"/>
  <c r="BD11" i="75"/>
  <c r="BJ11" i="75" s="1"/>
  <c r="BE12" i="75"/>
  <c r="BK12" i="75" s="1"/>
  <c r="BG13" i="75"/>
  <c r="BM13" i="75" s="1"/>
  <c r="BF13" i="75"/>
  <c r="BL13" i="75" s="1"/>
  <c r="F15" i="75"/>
  <c r="BD15" i="75"/>
  <c r="BJ15" i="75" s="1"/>
  <c r="BD16" i="75"/>
  <c r="BJ16" i="75" s="1"/>
  <c r="BD17" i="75"/>
  <c r="BJ17" i="75" s="1"/>
  <c r="BD18" i="75"/>
  <c r="BJ18" i="75" s="1"/>
  <c r="BD19" i="75"/>
  <c r="BJ19" i="75" s="1"/>
  <c r="M21" i="75"/>
  <c r="N21" i="75" s="1"/>
  <c r="BG23" i="75"/>
  <c r="BM23" i="75" s="1"/>
  <c r="BF23" i="75"/>
  <c r="BL23" i="75" s="1"/>
  <c r="BF24" i="75"/>
  <c r="BL24" i="75" s="1"/>
  <c r="BG25" i="75"/>
  <c r="BM25" i="75" s="1"/>
  <c r="BG26" i="75"/>
  <c r="BM26" i="75" s="1"/>
  <c r="BF26" i="75"/>
  <c r="BL26" i="75" s="1"/>
  <c r="BD28" i="75"/>
  <c r="BJ28" i="75" s="1"/>
  <c r="BD31" i="75"/>
  <c r="BJ31" i="75" s="1"/>
  <c r="Q10" i="72"/>
  <c r="R10" i="72" s="1"/>
  <c r="G8" i="72"/>
  <c r="Q8" i="72" s="1"/>
  <c r="R8" i="72" s="1"/>
  <c r="G16" i="72"/>
  <c r="Q16" i="72" s="1"/>
  <c r="R16" i="72" s="1"/>
  <c r="G22" i="72"/>
  <c r="Q22" i="72" s="1"/>
  <c r="R22" i="72" s="1"/>
  <c r="BK22" i="72"/>
  <c r="BQ22" i="72" s="1"/>
  <c r="BG28" i="72"/>
  <c r="BM28" i="72" s="1"/>
  <c r="BK28" i="72"/>
  <c r="BQ28" i="72" s="1"/>
  <c r="G30" i="72"/>
  <c r="Q30" i="72" s="1"/>
  <c r="R30" i="72" s="1"/>
  <c r="AS10" i="73"/>
  <c r="AY10" i="73" s="1"/>
  <c r="AR11" i="73"/>
  <c r="AX11" i="73" s="1"/>
  <c r="AR12" i="73"/>
  <c r="AX12" i="73" s="1"/>
  <c r="BB14" i="73"/>
  <c r="N14" i="73" s="1"/>
  <c r="O14" i="73" s="1"/>
  <c r="BB15" i="73"/>
  <c r="N15" i="73" s="1"/>
  <c r="O15" i="73" s="1"/>
  <c r="AP16" i="73"/>
  <c r="AV16" i="73" s="1"/>
  <c r="AT16" i="73"/>
  <c r="AZ16" i="73" s="1"/>
  <c r="AR16" i="73"/>
  <c r="AX16" i="73" s="1"/>
  <c r="AS20" i="73"/>
  <c r="AY20" i="73" s="1"/>
  <c r="AS24" i="73"/>
  <c r="AY24" i="73" s="1"/>
  <c r="AQ28" i="73"/>
  <c r="AW28" i="73" s="1"/>
  <c r="AR28" i="73"/>
  <c r="AX28" i="73" s="1"/>
  <c r="F8" i="75"/>
  <c r="BD27" i="75"/>
  <c r="BJ27" i="75" s="1"/>
  <c r="BE28" i="75"/>
  <c r="BK28" i="75" s="1"/>
  <c r="F29" i="75"/>
  <c r="BE31" i="75"/>
  <c r="BK31" i="75" s="1"/>
  <c r="AR20" i="73"/>
  <c r="AX20" i="73" s="1"/>
  <c r="BB23" i="73"/>
  <c r="N23" i="73" s="1"/>
  <c r="O23" i="73" s="1"/>
  <c r="P32" i="75"/>
  <c r="E24" i="65" s="1"/>
  <c r="G24" i="65" s="1"/>
  <c r="BE8" i="75"/>
  <c r="BK8" i="75" s="1"/>
  <c r="BD9" i="75"/>
  <c r="BJ9" i="75" s="1"/>
  <c r="BE10" i="75"/>
  <c r="BK10" i="75" s="1"/>
  <c r="BG11" i="75"/>
  <c r="BM11" i="75" s="1"/>
  <c r="BF11" i="75"/>
  <c r="BL11" i="75" s="1"/>
  <c r="F13" i="75"/>
  <c r="BD13" i="75"/>
  <c r="BJ13" i="75" s="1"/>
  <c r="BE14" i="75"/>
  <c r="BK14" i="75" s="1"/>
  <c r="BG15" i="75"/>
  <c r="BM15" i="75" s="1"/>
  <c r="BF15" i="75"/>
  <c r="BL15" i="75" s="1"/>
  <c r="BG16" i="75"/>
  <c r="BM16" i="75" s="1"/>
  <c r="BF16" i="75"/>
  <c r="BL16" i="75" s="1"/>
  <c r="BG17" i="75"/>
  <c r="BM17" i="75" s="1"/>
  <c r="BF17" i="75"/>
  <c r="BL17" i="75" s="1"/>
  <c r="BG18" i="75"/>
  <c r="BM18" i="75" s="1"/>
  <c r="BF18" i="75"/>
  <c r="BL18" i="75" s="1"/>
  <c r="BG19" i="75"/>
  <c r="BM19" i="75" s="1"/>
  <c r="BF19" i="75"/>
  <c r="BL19" i="75" s="1"/>
  <c r="BD23" i="75"/>
  <c r="BJ23" i="75" s="1"/>
  <c r="BE24" i="75"/>
  <c r="BK24" i="75" s="1"/>
  <c r="I8" i="74"/>
  <c r="O8" i="74" s="1"/>
  <c r="P8" i="74" s="1"/>
  <c r="I14" i="74"/>
  <c r="O14" i="74" s="1"/>
  <c r="P14" i="74" s="1"/>
  <c r="I13" i="74"/>
  <c r="O13" i="74" s="1"/>
  <c r="P13" i="74" s="1"/>
  <c r="I15" i="74"/>
  <c r="O15" i="74" s="1"/>
  <c r="P15" i="74" s="1"/>
  <c r="O9" i="74"/>
  <c r="P9" i="74" s="1"/>
  <c r="BD9" i="74"/>
  <c r="BJ9" i="74" s="1"/>
  <c r="BE16" i="74"/>
  <c r="BK16" i="74" s="1"/>
  <c r="BH16" i="74"/>
  <c r="BN16" i="74" s="1"/>
  <c r="I24" i="74"/>
  <c r="O24" i="74" s="1"/>
  <c r="P24" i="74" s="1"/>
  <c r="BE24" i="74"/>
  <c r="BK24" i="74" s="1"/>
  <c r="I27" i="74"/>
  <c r="O27" i="74" s="1"/>
  <c r="P27" i="74" s="1"/>
  <c r="O12" i="74"/>
  <c r="P12" i="74" s="1"/>
  <c r="O19" i="74"/>
  <c r="P19" i="74" s="1"/>
  <c r="I10" i="74"/>
  <c r="O10" i="74" s="1"/>
  <c r="P10" i="74" s="1"/>
  <c r="I17" i="74"/>
  <c r="O17" i="74" s="1"/>
  <c r="P17" i="74" s="1"/>
  <c r="I23" i="74"/>
  <c r="I28" i="74"/>
  <c r="O28" i="74" s="1"/>
  <c r="P28" i="74" s="1"/>
  <c r="I31" i="74"/>
  <c r="O31" i="74" s="1"/>
  <c r="P31" i="74" s="1"/>
  <c r="BH11" i="74"/>
  <c r="BN11" i="74" s="1"/>
  <c r="BE26" i="74"/>
  <c r="BK26" i="74" s="1"/>
  <c r="BF10" i="74"/>
  <c r="BL10" i="74" s="1"/>
  <c r="BH12" i="74"/>
  <c r="BN12" i="74" s="1"/>
  <c r="BG13" i="74"/>
  <c r="BM13" i="74" s="1"/>
  <c r="BH13" i="74"/>
  <c r="BN13" i="74" s="1"/>
  <c r="BE21" i="74"/>
  <c r="BK21" i="74" s="1"/>
  <c r="BH21" i="74"/>
  <c r="BN21" i="74" s="1"/>
  <c r="BE22" i="74"/>
  <c r="BK22" i="74" s="1"/>
  <c r="BF23" i="74"/>
  <c r="BL23" i="74" s="1"/>
  <c r="BE29" i="74"/>
  <c r="BK29" i="74" s="1"/>
  <c r="BH29" i="74"/>
  <c r="BN29" i="74" s="1"/>
  <c r="BE30" i="74"/>
  <c r="BK30" i="74" s="1"/>
  <c r="BE20" i="74"/>
  <c r="BK20" i="74" s="1"/>
  <c r="BH20" i="74"/>
  <c r="BN20" i="74" s="1"/>
  <c r="BE28" i="74"/>
  <c r="BK28" i="74" s="1"/>
  <c r="BH28" i="74"/>
  <c r="BN28" i="74" s="1"/>
  <c r="AR10" i="73"/>
  <c r="AX10" i="73" s="1"/>
  <c r="AP10" i="73"/>
  <c r="AV10" i="73" s="1"/>
  <c r="BH11" i="72"/>
  <c r="BN11" i="72" s="1"/>
  <c r="BK12" i="72"/>
  <c r="BQ12" i="72" s="1"/>
  <c r="G20" i="72"/>
  <c r="Q20" i="72" s="1"/>
  <c r="R20" i="72" s="1"/>
  <c r="G23" i="72"/>
  <c r="Q23" i="72" s="1"/>
  <c r="R23" i="72" s="1"/>
  <c r="BK25" i="72"/>
  <c r="BQ25" i="72" s="1"/>
  <c r="BH10" i="72"/>
  <c r="BN10" i="72" s="1"/>
  <c r="BI15" i="72"/>
  <c r="BO15" i="72" s="1"/>
  <c r="Q31" i="72"/>
  <c r="R31" i="72" s="1"/>
  <c r="BI31" i="72"/>
  <c r="BO31" i="72" s="1"/>
  <c r="BI10" i="72"/>
  <c r="BO10" i="72" s="1"/>
  <c r="G18" i="72"/>
  <c r="Q18" i="72" s="1"/>
  <c r="R18" i="72" s="1"/>
  <c r="Q19" i="72"/>
  <c r="R19" i="72" s="1"/>
  <c r="BG20" i="72"/>
  <c r="BM20" i="72" s="1"/>
  <c r="BK20" i="72"/>
  <c r="BQ20" i="72" s="1"/>
  <c r="BK21" i="72"/>
  <c r="BQ21" i="72" s="1"/>
  <c r="BJ22" i="72"/>
  <c r="BP22" i="72" s="1"/>
  <c r="G24" i="72"/>
  <c r="Q24" i="72" s="1"/>
  <c r="R24" i="72" s="1"/>
  <c r="BJ30" i="72"/>
  <c r="BP30" i="72" s="1"/>
  <c r="BJ8" i="72"/>
  <c r="BP8" i="72" s="1"/>
  <c r="BK9" i="72"/>
  <c r="BQ9" i="72" s="1"/>
  <c r="BK10" i="72"/>
  <c r="BQ10" i="72" s="1"/>
  <c r="BG13" i="72"/>
  <c r="BM13" i="72" s="1"/>
  <c r="BG16" i="72"/>
  <c r="BM16" i="72" s="1"/>
  <c r="BG18" i="72"/>
  <c r="BM18" i="72" s="1"/>
  <c r="BI18" i="72"/>
  <c r="BO18" i="72" s="1"/>
  <c r="BG21" i="72"/>
  <c r="BM21" i="72" s="1"/>
  <c r="BJ25" i="72"/>
  <c r="BP25" i="72" s="1"/>
  <c r="BG26" i="72"/>
  <c r="BM26" i="72" s="1"/>
  <c r="BI26" i="72"/>
  <c r="BO26" i="72" s="1"/>
  <c r="BI28" i="72"/>
  <c r="BO28" i="72" s="1"/>
  <c r="BK30" i="72"/>
  <c r="BQ30" i="72" s="1"/>
  <c r="BK8" i="72"/>
  <c r="BQ8" i="72" s="1"/>
  <c r="BI8" i="72"/>
  <c r="BO8" i="72" s="1"/>
  <c r="BG9" i="72"/>
  <c r="BM9" i="72" s="1"/>
  <c r="BG10" i="72"/>
  <c r="BM10" i="72" s="1"/>
  <c r="BI11" i="72"/>
  <c r="BO11" i="72" s="1"/>
  <c r="BG12" i="72"/>
  <c r="BM12" i="72" s="1"/>
  <c r="BI21" i="72"/>
  <c r="BO21" i="72" s="1"/>
  <c r="BJ24" i="72"/>
  <c r="BP24" i="72" s="1"/>
  <c r="BH29" i="72"/>
  <c r="BN29" i="72" s="1"/>
  <c r="BJ10" i="72"/>
  <c r="BP10" i="72" s="1"/>
  <c r="BK11" i="72"/>
  <c r="BQ11" i="72" s="1"/>
  <c r="BK14" i="72"/>
  <c r="BQ14" i="72" s="1"/>
  <c r="BJ14" i="72"/>
  <c r="BP14" i="72" s="1"/>
  <c r="BG17" i="72"/>
  <c r="BM17" i="72" s="1"/>
  <c r="BK17" i="72"/>
  <c r="BQ17" i="72" s="1"/>
  <c r="BK18" i="72"/>
  <c r="BQ18" i="72" s="1"/>
  <c r="BK19" i="72"/>
  <c r="BQ19" i="72" s="1"/>
  <c r="BH19" i="72"/>
  <c r="BN19" i="72" s="1"/>
  <c r="BI23" i="72"/>
  <c r="BO23" i="72" s="1"/>
  <c r="BG25" i="72"/>
  <c r="BM25" i="72" s="1"/>
  <c r="BK27" i="72"/>
  <c r="BQ27" i="72" s="1"/>
  <c r="BH27" i="72"/>
  <c r="BN27" i="72" s="1"/>
  <c r="BK29" i="72"/>
  <c r="BQ29" i="72" s="1"/>
  <c r="BD8" i="74"/>
  <c r="BJ8" i="74" s="1"/>
  <c r="BF9" i="74"/>
  <c r="BL9" i="74" s="1"/>
  <c r="BH10" i="74"/>
  <c r="BN10" i="74" s="1"/>
  <c r="I11" i="74"/>
  <c r="O11" i="74" s="1"/>
  <c r="P11" i="74" s="1"/>
  <c r="BE15" i="74"/>
  <c r="BK15" i="74" s="1"/>
  <c r="BH15" i="74"/>
  <c r="BN15" i="74" s="1"/>
  <c r="I18" i="74"/>
  <c r="O18" i="74" s="1"/>
  <c r="P18" i="74" s="1"/>
  <c r="BE19" i="74"/>
  <c r="BK19" i="74" s="1"/>
  <c r="BH19" i="74"/>
  <c r="BN19" i="74" s="1"/>
  <c r="I25" i="74"/>
  <c r="O25" i="74" s="1"/>
  <c r="P25" i="74" s="1"/>
  <c r="I26" i="74"/>
  <c r="O26" i="74" s="1"/>
  <c r="P26" i="74" s="1"/>
  <c r="BH26" i="74"/>
  <c r="BN26" i="74" s="1"/>
  <c r="BE27" i="74"/>
  <c r="BK27" i="74" s="1"/>
  <c r="BH27" i="74"/>
  <c r="BN27" i="74" s="1"/>
  <c r="BF29" i="74"/>
  <c r="BL29" i="74" s="1"/>
  <c r="BH9" i="74"/>
  <c r="BN9" i="74" s="1"/>
  <c r="BE11" i="74"/>
  <c r="BK11" i="74" s="1"/>
  <c r="BG14" i="74"/>
  <c r="BM14" i="74" s="1"/>
  <c r="BH14" i="74"/>
  <c r="BN14" i="74" s="1"/>
  <c r="BE18" i="74"/>
  <c r="BK18" i="74" s="1"/>
  <c r="BH18" i="74"/>
  <c r="BN18" i="74" s="1"/>
  <c r="O23" i="74"/>
  <c r="P23" i="74" s="1"/>
  <c r="BH24" i="74"/>
  <c r="BN24" i="74" s="1"/>
  <c r="BE25" i="74"/>
  <c r="BK25" i="74" s="1"/>
  <c r="BH25" i="74"/>
  <c r="BN25" i="74" s="1"/>
  <c r="BF27" i="74"/>
  <c r="BL27" i="74" s="1"/>
  <c r="BE31" i="74"/>
  <c r="BK31" i="74" s="1"/>
  <c r="BH31" i="74"/>
  <c r="BN31" i="74" s="1"/>
  <c r="BF8" i="74"/>
  <c r="BL8" i="74" s="1"/>
  <c r="Q9" i="74"/>
  <c r="R9" i="74" s="1"/>
  <c r="BG12" i="74"/>
  <c r="BM12" i="74" s="1"/>
  <c r="BH8" i="74"/>
  <c r="BN8" i="74" s="1"/>
  <c r="BE10" i="74"/>
  <c r="BK10" i="74" s="1"/>
  <c r="BF11" i="74"/>
  <c r="BL11" i="74" s="1"/>
  <c r="I16" i="74"/>
  <c r="O16" i="74" s="1"/>
  <c r="P16" i="74" s="1"/>
  <c r="BE17" i="74"/>
  <c r="BK17" i="74" s="1"/>
  <c r="BH17" i="74"/>
  <c r="BN17" i="74" s="1"/>
  <c r="I20" i="74"/>
  <c r="O20" i="74" s="1"/>
  <c r="P20" i="74" s="1"/>
  <c r="I21" i="74"/>
  <c r="O21" i="74" s="1"/>
  <c r="P21" i="74" s="1"/>
  <c r="I22" i="74"/>
  <c r="O22" i="74" s="1"/>
  <c r="P22" i="74" s="1"/>
  <c r="BH22" i="74"/>
  <c r="BN22" i="74" s="1"/>
  <c r="BE23" i="74"/>
  <c r="BK23" i="74" s="1"/>
  <c r="BH23" i="74"/>
  <c r="BN23" i="74" s="1"/>
  <c r="BF25" i="74"/>
  <c r="BL25" i="74" s="1"/>
  <c r="I29" i="74"/>
  <c r="O29" i="74" s="1"/>
  <c r="P29" i="74" s="1"/>
  <c r="I30" i="74"/>
  <c r="O30" i="74" s="1"/>
  <c r="P30" i="74" s="1"/>
  <c r="BH30" i="74"/>
  <c r="BN30" i="74" s="1"/>
  <c r="BF31" i="74"/>
  <c r="BL31" i="74" s="1"/>
  <c r="BC8" i="75"/>
  <c r="BI8" i="75" s="1"/>
  <c r="BC9" i="75"/>
  <c r="BI9" i="75" s="1"/>
  <c r="BC10" i="75"/>
  <c r="BI10" i="75" s="1"/>
  <c r="BC11" i="75"/>
  <c r="BI11" i="75" s="1"/>
  <c r="BC12" i="75"/>
  <c r="BI12" i="75" s="1"/>
  <c r="BC13" i="75"/>
  <c r="BI13" i="75" s="1"/>
  <c r="BC14" i="75"/>
  <c r="BI14" i="75" s="1"/>
  <c r="BC15" i="75"/>
  <c r="BI15" i="75" s="1"/>
  <c r="BC16" i="75"/>
  <c r="BI16" i="75" s="1"/>
  <c r="BC17" i="75"/>
  <c r="BI17" i="75" s="1"/>
  <c r="BC18" i="75"/>
  <c r="BI18" i="75" s="1"/>
  <c r="BC19" i="75"/>
  <c r="BI19" i="75" s="1"/>
  <c r="F20" i="75"/>
  <c r="BD25" i="75"/>
  <c r="BJ25" i="75" s="1"/>
  <c r="BD29" i="75"/>
  <c r="BJ29" i="75" s="1"/>
  <c r="BC20" i="75"/>
  <c r="BI20" i="75" s="1"/>
  <c r="BF20" i="75"/>
  <c r="BL20" i="75" s="1"/>
  <c r="F21" i="75"/>
  <c r="BC21" i="75"/>
  <c r="BI21" i="75" s="1"/>
  <c r="BF21" i="75"/>
  <c r="BL21" i="75" s="1"/>
  <c r="F22" i="75"/>
  <c r="BD22" i="75"/>
  <c r="BJ22" i="75" s="1"/>
  <c r="BE25" i="75"/>
  <c r="BK25" i="75" s="1"/>
  <c r="BD26" i="75"/>
  <c r="BJ26" i="75" s="1"/>
  <c r="BE29" i="75"/>
  <c r="BK29" i="75" s="1"/>
  <c r="F30" i="75"/>
  <c r="BD30" i="75"/>
  <c r="BJ30" i="75" s="1"/>
  <c r="BE20" i="75"/>
  <c r="BK20" i="75" s="1"/>
  <c r="BE21" i="75"/>
  <c r="BK21" i="75" s="1"/>
  <c r="BE22" i="75"/>
  <c r="BK22" i="75" s="1"/>
  <c r="F23" i="75"/>
  <c r="BE26" i="75"/>
  <c r="BK26" i="75" s="1"/>
  <c r="BE30" i="75"/>
  <c r="BK30" i="75" s="1"/>
  <c r="F31" i="75"/>
  <c r="BC22" i="75"/>
  <c r="BI22" i="75" s="1"/>
  <c r="BC23" i="75"/>
  <c r="BI23" i="75" s="1"/>
  <c r="BC24" i="75"/>
  <c r="BI24" i="75" s="1"/>
  <c r="BC25" i="75"/>
  <c r="BI25" i="75" s="1"/>
  <c r="BC26" i="75"/>
  <c r="BI26" i="75" s="1"/>
  <c r="BC27" i="75"/>
  <c r="BI27" i="75" s="1"/>
  <c r="BC28" i="75"/>
  <c r="BI28" i="75" s="1"/>
  <c r="BC29" i="75"/>
  <c r="BI29" i="75" s="1"/>
  <c r="BC30" i="75"/>
  <c r="BI30" i="75" s="1"/>
  <c r="BC31" i="75"/>
  <c r="BI31" i="75" s="1"/>
  <c r="BF12" i="74"/>
  <c r="BL12" i="74" s="1"/>
  <c r="BD13" i="74"/>
  <c r="BJ13" i="74" s="1"/>
  <c r="BF14" i="74"/>
  <c r="BL14" i="74" s="1"/>
  <c r="BF15" i="74"/>
  <c r="BL15" i="74" s="1"/>
  <c r="BF17" i="74"/>
  <c r="BL17" i="74" s="1"/>
  <c r="BF19" i="74"/>
  <c r="BL19" i="74" s="1"/>
  <c r="BF21" i="74"/>
  <c r="BL21" i="74" s="1"/>
  <c r="BG9" i="74"/>
  <c r="BM9" i="74" s="1"/>
  <c r="BG10" i="74"/>
  <c r="BM10" i="74" s="1"/>
  <c r="BG11" i="74"/>
  <c r="BM11" i="74" s="1"/>
  <c r="BE13" i="74"/>
  <c r="BK13" i="74" s="1"/>
  <c r="BD16" i="74"/>
  <c r="BJ16" i="74" s="1"/>
  <c r="BG16" i="74"/>
  <c r="BM16" i="74" s="1"/>
  <c r="BD18" i="74"/>
  <c r="BJ18" i="74" s="1"/>
  <c r="BG18" i="74"/>
  <c r="BM18" i="74" s="1"/>
  <c r="BD20" i="74"/>
  <c r="BJ20" i="74" s="1"/>
  <c r="BG20" i="74"/>
  <c r="BM20" i="74" s="1"/>
  <c r="BD22" i="74"/>
  <c r="BJ22" i="74" s="1"/>
  <c r="BG22" i="74"/>
  <c r="BM22" i="74" s="1"/>
  <c r="BD24" i="74"/>
  <c r="BJ24" i="74" s="1"/>
  <c r="BG24" i="74"/>
  <c r="BM24" i="74" s="1"/>
  <c r="BD26" i="74"/>
  <c r="BJ26" i="74" s="1"/>
  <c r="BG26" i="74"/>
  <c r="BM26" i="74" s="1"/>
  <c r="BD28" i="74"/>
  <c r="BJ28" i="74" s="1"/>
  <c r="BG28" i="74"/>
  <c r="BM28" i="74" s="1"/>
  <c r="BD30" i="74"/>
  <c r="BJ30" i="74" s="1"/>
  <c r="BG30" i="74"/>
  <c r="BM30" i="74" s="1"/>
  <c r="BE8" i="74"/>
  <c r="BK8" i="74" s="1"/>
  <c r="BE9" i="74"/>
  <c r="BK9" i="74" s="1"/>
  <c r="BG8" i="74"/>
  <c r="BM8" i="74" s="1"/>
  <c r="BD10" i="74"/>
  <c r="BJ10" i="74" s="1"/>
  <c r="BD11" i="74"/>
  <c r="BJ11" i="74" s="1"/>
  <c r="BD12" i="74"/>
  <c r="BJ12" i="74" s="1"/>
  <c r="BF13" i="74"/>
  <c r="BL13" i="74" s="1"/>
  <c r="BD14" i="74"/>
  <c r="BJ14" i="74" s="1"/>
  <c r="BF16" i="74"/>
  <c r="BL16" i="74" s="1"/>
  <c r="BF18" i="74"/>
  <c r="BL18" i="74" s="1"/>
  <c r="BF20" i="74"/>
  <c r="BL20" i="74" s="1"/>
  <c r="BF22" i="74"/>
  <c r="BL22" i="74" s="1"/>
  <c r="BF24" i="74"/>
  <c r="BL24" i="74" s="1"/>
  <c r="BF26" i="74"/>
  <c r="BL26" i="74" s="1"/>
  <c r="BF28" i="74"/>
  <c r="BL28" i="74" s="1"/>
  <c r="BF30" i="74"/>
  <c r="BL30" i="74" s="1"/>
  <c r="BE12" i="74"/>
  <c r="BK12" i="74" s="1"/>
  <c r="BE14" i="74"/>
  <c r="BK14" i="74" s="1"/>
  <c r="BD15" i="74"/>
  <c r="BJ15" i="74" s="1"/>
  <c r="BG15" i="74"/>
  <c r="BM15" i="74" s="1"/>
  <c r="BD17" i="74"/>
  <c r="BJ17" i="74" s="1"/>
  <c r="BG17" i="74"/>
  <c r="BM17" i="74" s="1"/>
  <c r="BD19" i="74"/>
  <c r="BJ19" i="74" s="1"/>
  <c r="BG19" i="74"/>
  <c r="BM19" i="74" s="1"/>
  <c r="BD21" i="74"/>
  <c r="BJ21" i="74" s="1"/>
  <c r="BG21" i="74"/>
  <c r="BM21" i="74" s="1"/>
  <c r="BD23" i="74"/>
  <c r="BJ23" i="74" s="1"/>
  <c r="BG23" i="74"/>
  <c r="BM23" i="74" s="1"/>
  <c r="BD25" i="74"/>
  <c r="BJ25" i="74" s="1"/>
  <c r="BG25" i="74"/>
  <c r="BM25" i="74" s="1"/>
  <c r="BD27" i="74"/>
  <c r="BJ27" i="74" s="1"/>
  <c r="BG27" i="74"/>
  <c r="BM27" i="74" s="1"/>
  <c r="BD29" i="74"/>
  <c r="BJ29" i="74" s="1"/>
  <c r="BG29" i="74"/>
  <c r="BM29" i="74" s="1"/>
  <c r="BD31" i="74"/>
  <c r="BJ31" i="74" s="1"/>
  <c r="BG31" i="74"/>
  <c r="BM31" i="74" s="1"/>
  <c r="AQ19" i="73"/>
  <c r="AW19" i="73" s="1"/>
  <c r="AP19" i="73"/>
  <c r="AV19" i="73" s="1"/>
  <c r="BB10" i="73"/>
  <c r="N10" i="73" s="1"/>
  <c r="O10" i="73" s="1"/>
  <c r="AQ12" i="73"/>
  <c r="AW12" i="73" s="1"/>
  <c r="BB13" i="73"/>
  <c r="N13" i="73" s="1"/>
  <c r="O13" i="73" s="1"/>
  <c r="AT15" i="73"/>
  <c r="AZ15" i="73" s="1"/>
  <c r="BB18" i="73"/>
  <c r="N18" i="73" s="1"/>
  <c r="O18" i="73" s="1"/>
  <c r="AP18" i="73"/>
  <c r="AV18" i="73" s="1"/>
  <c r="AS19" i="73"/>
  <c r="AY19" i="73" s="1"/>
  <c r="BB20" i="73"/>
  <c r="N20" i="73" s="1"/>
  <c r="O20" i="73" s="1"/>
  <c r="AP21" i="73"/>
  <c r="AV21" i="73" s="1"/>
  <c r="AS22" i="73"/>
  <c r="AY22" i="73" s="1"/>
  <c r="AQ23" i="73"/>
  <c r="AW23" i="73" s="1"/>
  <c r="AP23" i="73"/>
  <c r="AV23" i="73" s="1"/>
  <c r="AP24" i="73"/>
  <c r="AV24" i="73" s="1"/>
  <c r="AS28" i="73"/>
  <c r="AY28" i="73" s="1"/>
  <c r="BB29" i="73"/>
  <c r="N29" i="73" s="1"/>
  <c r="O29" i="73" s="1"/>
  <c r="AT30" i="73"/>
  <c r="AZ30" i="73" s="1"/>
  <c r="Q32" i="73"/>
  <c r="E26" i="65" s="1"/>
  <c r="G26" i="65" s="1"/>
  <c r="AQ11" i="73"/>
  <c r="AW11" i="73" s="1"/>
  <c r="AP11" i="73"/>
  <c r="AV11" i="73" s="1"/>
  <c r="AP12" i="73"/>
  <c r="AV12" i="73" s="1"/>
  <c r="BB17" i="73"/>
  <c r="N17" i="73" s="1"/>
  <c r="O17" i="73" s="1"/>
  <c r="AT19" i="73"/>
  <c r="AZ19" i="73" s="1"/>
  <c r="BB22" i="73"/>
  <c r="N22" i="73" s="1"/>
  <c r="O22" i="73" s="1"/>
  <c r="AP22" i="73"/>
  <c r="AV22" i="73" s="1"/>
  <c r="BB24" i="73"/>
  <c r="N24" i="73" s="1"/>
  <c r="O24" i="73" s="1"/>
  <c r="AP25" i="73"/>
  <c r="AV25" i="73" s="1"/>
  <c r="AS26" i="73"/>
  <c r="AY26" i="73" s="1"/>
  <c r="AQ27" i="73"/>
  <c r="AW27" i="73" s="1"/>
  <c r="AP27" i="73"/>
  <c r="AV27" i="73" s="1"/>
  <c r="AP28" i="73"/>
  <c r="AV28" i="73" s="1"/>
  <c r="AP14" i="73"/>
  <c r="AV14" i="73" s="1"/>
  <c r="BB12" i="73"/>
  <c r="N12" i="73" s="1"/>
  <c r="O12" i="73" s="1"/>
  <c r="AS14" i="73"/>
  <c r="AY14" i="73" s="1"/>
  <c r="AQ15" i="73"/>
  <c r="AW15" i="73" s="1"/>
  <c r="AP15" i="73"/>
  <c r="AV15" i="73" s="1"/>
  <c r="BB26" i="73"/>
  <c r="N26" i="73" s="1"/>
  <c r="O26" i="73" s="1"/>
  <c r="AP26" i="73"/>
  <c r="AV26" i="73" s="1"/>
  <c r="AS27" i="73"/>
  <c r="AY27" i="73" s="1"/>
  <c r="BB28" i="73"/>
  <c r="N28" i="73" s="1"/>
  <c r="O28" i="73" s="1"/>
  <c r="AQ30" i="73"/>
  <c r="AW30" i="73" s="1"/>
  <c r="AP30" i="73"/>
  <c r="AV30" i="73" s="1"/>
  <c r="AS31" i="73"/>
  <c r="AY31" i="73" s="1"/>
  <c r="AQ10" i="73"/>
  <c r="AW10" i="73" s="1"/>
  <c r="AS12" i="73"/>
  <c r="AY12" i="73" s="1"/>
  <c r="AQ14" i="73"/>
  <c r="AW14" i="73" s="1"/>
  <c r="AQ18" i="73"/>
  <c r="AW18" i="73" s="1"/>
  <c r="AQ22" i="73"/>
  <c r="AW22" i="73" s="1"/>
  <c r="AQ26" i="73"/>
  <c r="AW26" i="73" s="1"/>
  <c r="AP31" i="73"/>
  <c r="AV31" i="73" s="1"/>
  <c r="AS13" i="73"/>
  <c r="AY13" i="73" s="1"/>
  <c r="AS17" i="73"/>
  <c r="AY17" i="73" s="1"/>
  <c r="AS21" i="73"/>
  <c r="AY21" i="73" s="1"/>
  <c r="AS25" i="73"/>
  <c r="AY25" i="73" s="1"/>
  <c r="AS29" i="73"/>
  <c r="AY29" i="73" s="1"/>
  <c r="BJ13" i="72"/>
  <c r="BP13" i="72" s="1"/>
  <c r="BH24" i="72"/>
  <c r="BN24" i="72" s="1"/>
  <c r="BJ16" i="72"/>
  <c r="BP16" i="72" s="1"/>
  <c r="BH16" i="72"/>
  <c r="BN16" i="72" s="1"/>
  <c r="BI24" i="72"/>
  <c r="BO24" i="72" s="1"/>
  <c r="BK24" i="72"/>
  <c r="BQ24" i="72" s="1"/>
  <c r="BH26" i="72"/>
  <c r="BN26" i="72" s="1"/>
  <c r="BH8" i="72"/>
  <c r="BN8" i="72" s="1"/>
  <c r="BJ9" i="72"/>
  <c r="BP9" i="72" s="1"/>
  <c r="G13" i="72"/>
  <c r="Q13" i="72" s="1"/>
  <c r="R13" i="72" s="1"/>
  <c r="BK13" i="72"/>
  <c r="BQ13" i="72" s="1"/>
  <c r="BI16" i="72"/>
  <c r="BO16" i="72" s="1"/>
  <c r="BK16" i="72"/>
  <c r="BQ16" i="72" s="1"/>
  <c r="BH18" i="72"/>
  <c r="BN18" i="72" s="1"/>
  <c r="BI20" i="72"/>
  <c r="BO20" i="72" s="1"/>
  <c r="BH21" i="72"/>
  <c r="BN21" i="72" s="1"/>
  <c r="BI22" i="72"/>
  <c r="BO22" i="72" s="1"/>
  <c r="BG22" i="72"/>
  <c r="BM22" i="72" s="1"/>
  <c r="G26" i="72"/>
  <c r="Q26" i="72" s="1"/>
  <c r="R26" i="72" s="1"/>
  <c r="BJ26" i="72"/>
  <c r="BP26" i="72" s="1"/>
  <c r="BI27" i="72"/>
  <c r="BO27" i="72" s="1"/>
  <c r="BG23" i="72"/>
  <c r="BM23" i="72" s="1"/>
  <c r="BH23" i="72"/>
  <c r="BN23" i="72" s="1"/>
  <c r="BJ23" i="72"/>
  <c r="BP23" i="72" s="1"/>
  <c r="BI13" i="72"/>
  <c r="BO13" i="72" s="1"/>
  <c r="BG15" i="72"/>
  <c r="BM15" i="72" s="1"/>
  <c r="BH15" i="72"/>
  <c r="BN15" i="72" s="1"/>
  <c r="BJ15" i="72"/>
  <c r="BP15" i="72" s="1"/>
  <c r="BJ17" i="72"/>
  <c r="BP17" i="72" s="1"/>
  <c r="T32" i="72"/>
  <c r="E22" i="65" s="1"/>
  <c r="G22" i="65" s="1"/>
  <c r="BG8" i="72"/>
  <c r="BM8" i="72" s="1"/>
  <c r="BI12" i="72"/>
  <c r="BO12" i="72" s="1"/>
  <c r="BH13" i="72"/>
  <c r="BN13" i="72" s="1"/>
  <c r="BI14" i="72"/>
  <c r="BO14" i="72" s="1"/>
  <c r="BG14" i="72"/>
  <c r="BM14" i="72" s="1"/>
  <c r="BJ18" i="72"/>
  <c r="BP18" i="72" s="1"/>
  <c r="BI19" i="72"/>
  <c r="BO19" i="72" s="1"/>
  <c r="BJ21" i="72"/>
  <c r="BP21" i="72" s="1"/>
  <c r="BG24" i="72"/>
  <c r="BM24" i="72" s="1"/>
  <c r="BK26" i="72"/>
  <c r="BQ26" i="72" s="1"/>
  <c r="BG29" i="72"/>
  <c r="BM29" i="72" s="1"/>
  <c r="BJ29" i="72"/>
  <c r="BP29" i="72" s="1"/>
  <c r="BI30" i="72"/>
  <c r="BO30" i="72" s="1"/>
  <c r="BG30" i="72"/>
  <c r="BM30" i="72" s="1"/>
  <c r="BG31" i="72"/>
  <c r="BM31" i="72" s="1"/>
  <c r="BH31" i="72"/>
  <c r="BN31" i="72" s="1"/>
  <c r="BJ31" i="72"/>
  <c r="BP31" i="72" s="1"/>
  <c r="BI29" i="72"/>
  <c r="BO29" i="72" s="1"/>
  <c r="BH9" i="72"/>
  <c r="BN9" i="72" s="1"/>
  <c r="BG11" i="72"/>
  <c r="BM11" i="72" s="1"/>
  <c r="BK15" i="72"/>
  <c r="BQ15" i="72" s="1"/>
  <c r="BH17" i="72"/>
  <c r="BN17" i="72" s="1"/>
  <c r="BG19" i="72"/>
  <c r="BM19" i="72" s="1"/>
  <c r="BK23" i="72"/>
  <c r="BQ23" i="72" s="1"/>
  <c r="BH25" i="72"/>
  <c r="BN25" i="72" s="1"/>
  <c r="BG27" i="72"/>
  <c r="BM27" i="72" s="1"/>
  <c r="BK31" i="72"/>
  <c r="BQ31" i="72" s="1"/>
  <c r="G29" i="72"/>
  <c r="Q29" i="72" s="1"/>
  <c r="R29" i="72" s="1"/>
  <c r="G9" i="72"/>
  <c r="Q9" i="72" s="1"/>
  <c r="R9" i="72" s="1"/>
  <c r="BI9" i="72"/>
  <c r="BO9" i="72" s="1"/>
  <c r="BJ11" i="72"/>
  <c r="BP11" i="72" s="1"/>
  <c r="BJ12" i="72"/>
  <c r="BP12" i="72" s="1"/>
  <c r="BH12" i="72"/>
  <c r="BN12" i="72" s="1"/>
  <c r="BH14" i="72"/>
  <c r="BN14" i="72" s="1"/>
  <c r="G17" i="72"/>
  <c r="Q17" i="72" s="1"/>
  <c r="R17" i="72" s="1"/>
  <c r="BI17" i="72"/>
  <c r="BO17" i="72" s="1"/>
  <c r="BJ19" i="72"/>
  <c r="BP19" i="72" s="1"/>
  <c r="BJ20" i="72"/>
  <c r="BP20" i="72" s="1"/>
  <c r="BH20" i="72"/>
  <c r="BN20" i="72" s="1"/>
  <c r="BH22" i="72"/>
  <c r="BN22" i="72" s="1"/>
  <c r="G25" i="72"/>
  <c r="Q25" i="72" s="1"/>
  <c r="R25" i="72" s="1"/>
  <c r="BI25" i="72"/>
  <c r="BO25" i="72" s="1"/>
  <c r="BJ27" i="72"/>
  <c r="BP27" i="72" s="1"/>
  <c r="BJ28" i="72"/>
  <c r="BP28" i="72" s="1"/>
  <c r="BH28" i="72"/>
  <c r="BN28" i="72" s="1"/>
  <c r="BH30" i="72"/>
  <c r="BN30" i="72" s="1"/>
  <c r="L29" i="65" l="1"/>
  <c r="J29" i="65"/>
  <c r="AV32" i="73"/>
  <c r="AV33" i="73" s="1"/>
  <c r="BL32" i="74"/>
  <c r="BL33" i="74" s="1"/>
  <c r="BF33" i="74" s="1"/>
  <c r="BK32" i="74"/>
  <c r="BK33" i="74" s="1"/>
  <c r="BE33" i="74" s="1"/>
  <c r="BN32" i="74"/>
  <c r="BJ32" i="74"/>
  <c r="BJ33" i="74" s="1"/>
  <c r="BD33" i="74" s="1"/>
  <c r="BM32" i="74"/>
  <c r="BM33" i="74" s="1"/>
  <c r="BG33" i="74" s="1"/>
  <c r="N32" i="75"/>
  <c r="D24" i="65" s="1"/>
  <c r="F24" i="65" s="1"/>
  <c r="BM32" i="75"/>
  <c r="AX32" i="73"/>
  <c r="AZ32" i="73"/>
  <c r="BK32" i="75"/>
  <c r="AY32" i="73"/>
  <c r="BL32" i="75"/>
  <c r="R32" i="74"/>
  <c r="E25" i="65" s="1"/>
  <c r="R32" i="72"/>
  <c r="D22" i="65" s="1"/>
  <c r="F22" i="65" s="1"/>
  <c r="BQ32" i="72"/>
  <c r="BO32" i="72"/>
  <c r="BP32" i="72"/>
  <c r="P32" i="74"/>
  <c r="D25" i="65" s="1"/>
  <c r="F25" i="65" s="1"/>
  <c r="BI32" i="75"/>
  <c r="BJ32" i="75"/>
  <c r="O32" i="73"/>
  <c r="D26" i="65" s="1"/>
  <c r="F26" i="65" s="1"/>
  <c r="AW32" i="73"/>
  <c r="AW33" i="73" s="1"/>
  <c r="BN32" i="72"/>
  <c r="BM32" i="72"/>
  <c r="O12" i="45"/>
  <c r="O13" i="45"/>
  <c r="O14" i="45"/>
  <c r="O15" i="45"/>
  <c r="O16" i="45"/>
  <c r="O17" i="45"/>
  <c r="O18" i="45"/>
  <c r="O19" i="45"/>
  <c r="O20" i="45"/>
  <c r="O21" i="45"/>
  <c r="O22" i="45"/>
  <c r="O23" i="45"/>
  <c r="O24" i="45"/>
  <c r="O25" i="45"/>
  <c r="O26" i="45"/>
  <c r="O27" i="45"/>
  <c r="O28" i="45"/>
  <c r="O29" i="45"/>
  <c r="O30" i="45"/>
  <c r="O31" i="45"/>
  <c r="O32" i="45"/>
  <c r="O33" i="45"/>
  <c r="O34" i="45"/>
  <c r="O35" i="45"/>
  <c r="O36" i="45"/>
  <c r="O37" i="45"/>
  <c r="O38" i="45"/>
  <c r="O39" i="45"/>
  <c r="O40" i="45"/>
  <c r="O41" i="45"/>
  <c r="O42" i="45"/>
  <c r="O11" i="45"/>
  <c r="L12" i="45"/>
  <c r="L13" i="45"/>
  <c r="L14" i="45"/>
  <c r="L15" i="45"/>
  <c r="L16" i="45"/>
  <c r="L17" i="45"/>
  <c r="L18" i="45"/>
  <c r="L19" i="45"/>
  <c r="L20" i="45"/>
  <c r="L21" i="45"/>
  <c r="L22" i="45"/>
  <c r="L23" i="45"/>
  <c r="L24" i="45"/>
  <c r="L25" i="45"/>
  <c r="L26" i="45"/>
  <c r="L27" i="45"/>
  <c r="L28" i="45"/>
  <c r="L29" i="45"/>
  <c r="L30" i="45"/>
  <c r="L31" i="45"/>
  <c r="L32" i="45"/>
  <c r="L33" i="45"/>
  <c r="L34" i="45"/>
  <c r="L35" i="45"/>
  <c r="L36" i="45"/>
  <c r="L37" i="45"/>
  <c r="L38" i="45"/>
  <c r="L39" i="45"/>
  <c r="L40" i="45"/>
  <c r="L41" i="45"/>
  <c r="L42" i="45"/>
  <c r="L11" i="45"/>
  <c r="BN33" i="74" l="1"/>
  <c r="BH33" i="74" s="1"/>
  <c r="M25" i="65"/>
  <c r="I25" i="65"/>
  <c r="N25" i="65" s="1"/>
  <c r="J26" i="65"/>
  <c r="O26" i="65" s="1"/>
  <c r="K25" i="65"/>
  <c r="P25" i="65" s="1"/>
  <c r="L24" i="65"/>
  <c r="Q24" i="65" s="1"/>
  <c r="BK33" i="75"/>
  <c r="BE33" i="75" s="1"/>
  <c r="M24" i="65"/>
  <c r="R24" i="65" s="1"/>
  <c r="BM33" i="75"/>
  <c r="BG33" i="75" s="1"/>
  <c r="I24" i="65"/>
  <c r="N24" i="65" s="1"/>
  <c r="BJ33" i="75"/>
  <c r="BD33" i="75" s="1"/>
  <c r="K24" i="65"/>
  <c r="P24" i="65" s="1"/>
  <c r="BL33" i="75"/>
  <c r="BF33" i="75" s="1"/>
  <c r="M26" i="65"/>
  <c r="R26" i="65" s="1"/>
  <c r="AZ33" i="73"/>
  <c r="AT33" i="73" s="1"/>
  <c r="J24" i="65"/>
  <c r="O24" i="65" s="1"/>
  <c r="BI33" i="75"/>
  <c r="BC33" i="75" s="1"/>
  <c r="AY33" i="73"/>
  <c r="AS33" i="73" s="1"/>
  <c r="AX33" i="73"/>
  <c r="AR33" i="73" s="1"/>
  <c r="L22" i="65"/>
  <c r="Q22" i="65" s="1"/>
  <c r="BO33" i="72"/>
  <c r="BI33" i="72" s="1"/>
  <c r="J22" i="65"/>
  <c r="O22" i="65" s="1"/>
  <c r="BM33" i="72"/>
  <c r="BG33" i="72" s="1"/>
  <c r="M22" i="65"/>
  <c r="R22" i="65" s="1"/>
  <c r="BQ33" i="72"/>
  <c r="BK33" i="72" s="1"/>
  <c r="I22" i="65"/>
  <c r="N22" i="65" s="1"/>
  <c r="BN33" i="72"/>
  <c r="BH33" i="72" s="1"/>
  <c r="K22" i="65"/>
  <c r="P22" i="65" s="1"/>
  <c r="BP33" i="72"/>
  <c r="BJ33" i="72" s="1"/>
  <c r="J25" i="65"/>
  <c r="O25" i="65" s="1"/>
  <c r="L25" i="65"/>
  <c r="Q25" i="65" s="1"/>
  <c r="E27" i="65"/>
  <c r="G27" i="65" s="1"/>
  <c r="G25" i="65"/>
  <c r="L26" i="65"/>
  <c r="Q26" i="65" s="1"/>
  <c r="D27" i="65"/>
  <c r="F27" i="65" s="1"/>
  <c r="K26" i="65"/>
  <c r="P26" i="65" s="1"/>
  <c r="AP33" i="73"/>
  <c r="AQ33" i="73"/>
  <c r="I26" i="65"/>
  <c r="AN31" i="71"/>
  <c r="AM31" i="71"/>
  <c r="AL31" i="71"/>
  <c r="AN30" i="71"/>
  <c r="AM30" i="71"/>
  <c r="AL30" i="71"/>
  <c r="AN29" i="71"/>
  <c r="AM29" i="71"/>
  <c r="AL29" i="71"/>
  <c r="AN28" i="71"/>
  <c r="AM28" i="71"/>
  <c r="AL28" i="71"/>
  <c r="AN27" i="71"/>
  <c r="AM27" i="71"/>
  <c r="AL27" i="71"/>
  <c r="AN26" i="71"/>
  <c r="AM26" i="71"/>
  <c r="AL26" i="71"/>
  <c r="AN25" i="71"/>
  <c r="AM25" i="71"/>
  <c r="AL25" i="71"/>
  <c r="AN24" i="71"/>
  <c r="AM24" i="71"/>
  <c r="AL24" i="71"/>
  <c r="AN23" i="71"/>
  <c r="AM23" i="71"/>
  <c r="AL23" i="71"/>
  <c r="AN22" i="71"/>
  <c r="AM22" i="71"/>
  <c r="AL22" i="71"/>
  <c r="AN21" i="71"/>
  <c r="AM21" i="71"/>
  <c r="AL21" i="71"/>
  <c r="AN20" i="71"/>
  <c r="AM20" i="71"/>
  <c r="AL20" i="71"/>
  <c r="AN19" i="71"/>
  <c r="AM19" i="71"/>
  <c r="AL19" i="71"/>
  <c r="AN18" i="71"/>
  <c r="AM18" i="71"/>
  <c r="AL18" i="71"/>
  <c r="AN17" i="71"/>
  <c r="AM17" i="71"/>
  <c r="AL17" i="71"/>
  <c r="AN16" i="71"/>
  <c r="AM16" i="71"/>
  <c r="AL16" i="71"/>
  <c r="AN15" i="71"/>
  <c r="AM15" i="71"/>
  <c r="AL15" i="71"/>
  <c r="AN14" i="71"/>
  <c r="AM14" i="71"/>
  <c r="AL14" i="71"/>
  <c r="AN13" i="71"/>
  <c r="AM13" i="71"/>
  <c r="AL13" i="71"/>
  <c r="AN12" i="71"/>
  <c r="AM12" i="71"/>
  <c r="AL12" i="71"/>
  <c r="AN11" i="71"/>
  <c r="AM11" i="71"/>
  <c r="AL11" i="71"/>
  <c r="AN10" i="71"/>
  <c r="AM10" i="71"/>
  <c r="AL10" i="71"/>
  <c r="I30" i="71"/>
  <c r="BA29" i="71"/>
  <c r="L29" i="71" s="1"/>
  <c r="BA30" i="71"/>
  <c r="BA31" i="71"/>
  <c r="J27" i="65" l="1"/>
  <c r="O27" i="65" s="1"/>
  <c r="I27" i="65"/>
  <c r="N27" i="65" s="1"/>
  <c r="N26" i="65"/>
  <c r="K27" i="65"/>
  <c r="P27" i="65" s="1"/>
  <c r="L27" i="65"/>
  <c r="Q27" i="65" s="1"/>
  <c r="D28" i="65"/>
  <c r="I28" i="65" l="1"/>
  <c r="N28" i="65" s="1"/>
  <c r="O28" i="65" s="1"/>
  <c r="J28" i="65"/>
  <c r="BB31" i="67"/>
  <c r="BA31" i="67"/>
  <c r="AZ31" i="67"/>
  <c r="BB30" i="67"/>
  <c r="BA30" i="67"/>
  <c r="AZ30" i="67"/>
  <c r="BB29" i="67"/>
  <c r="BA29" i="67"/>
  <c r="AZ29" i="67"/>
  <c r="BB28" i="67"/>
  <c r="BA28" i="67"/>
  <c r="AZ28" i="67"/>
  <c r="BB27" i="67"/>
  <c r="BA27" i="67"/>
  <c r="AZ27" i="67"/>
  <c r="BB26" i="67"/>
  <c r="BA26" i="67"/>
  <c r="AZ26" i="67"/>
  <c r="BB25" i="67"/>
  <c r="BA25" i="67"/>
  <c r="AZ25" i="67"/>
  <c r="BB24" i="67"/>
  <c r="BA24" i="67"/>
  <c r="AZ24" i="67"/>
  <c r="BB23" i="67"/>
  <c r="BA23" i="67"/>
  <c r="AZ23" i="67"/>
  <c r="BB22" i="67"/>
  <c r="BA22" i="67"/>
  <c r="AZ22" i="67"/>
  <c r="BB21" i="67"/>
  <c r="BA21" i="67"/>
  <c r="AZ21" i="67"/>
  <c r="BB20" i="67"/>
  <c r="BA20" i="67"/>
  <c r="AZ20" i="67"/>
  <c r="BB19" i="67"/>
  <c r="BA19" i="67"/>
  <c r="AZ19" i="67"/>
  <c r="BB18" i="67"/>
  <c r="BA18" i="67"/>
  <c r="AZ18" i="67"/>
  <c r="BB17" i="67"/>
  <c r="BA17" i="67"/>
  <c r="AZ17" i="67"/>
  <c r="BB16" i="67"/>
  <c r="BA16" i="67"/>
  <c r="AZ16" i="67"/>
  <c r="BB15" i="67"/>
  <c r="BA15" i="67"/>
  <c r="AZ15" i="67"/>
  <c r="BB14" i="67"/>
  <c r="BA14" i="67"/>
  <c r="AZ14" i="67"/>
  <c r="BB13" i="67"/>
  <c r="BA13" i="67"/>
  <c r="AZ13" i="67"/>
  <c r="BB12" i="67"/>
  <c r="BA12" i="67"/>
  <c r="AZ12" i="67"/>
  <c r="BB11" i="67"/>
  <c r="BA11" i="67"/>
  <c r="AZ11" i="67"/>
  <c r="BB10" i="67"/>
  <c r="BA10" i="67"/>
  <c r="AZ10" i="67"/>
  <c r="BB9" i="67"/>
  <c r="BA9" i="67"/>
  <c r="AZ9" i="67"/>
  <c r="BB8" i="67"/>
  <c r="BA8" i="67"/>
  <c r="AZ8" i="67"/>
  <c r="C2" i="63" l="1"/>
  <c r="C1" i="63"/>
  <c r="C2" i="62"/>
  <c r="C1" i="62"/>
  <c r="C2" i="61"/>
  <c r="C1" i="61"/>
  <c r="C2" i="60"/>
  <c r="C1" i="60"/>
  <c r="C2" i="59"/>
  <c r="C1" i="59"/>
  <c r="C2" i="58"/>
  <c r="C1" i="58"/>
  <c r="C2" i="57"/>
  <c r="C1" i="57"/>
  <c r="C2" i="56"/>
  <c r="C1" i="56"/>
  <c r="C2" i="55"/>
  <c r="C1" i="55"/>
  <c r="C2" i="64"/>
  <c r="C1" i="64"/>
  <c r="C2" i="54"/>
  <c r="C1" i="54"/>
  <c r="C2" i="53"/>
  <c r="C1" i="53"/>
  <c r="C2" i="52"/>
  <c r="C1" i="52"/>
  <c r="C2" i="51"/>
  <c r="C1" i="51"/>
  <c r="C2" i="50"/>
  <c r="C1" i="50"/>
  <c r="C2" i="49"/>
  <c r="C1" i="49"/>
  <c r="C2" i="40"/>
  <c r="C1" i="40"/>
  <c r="E2" i="66"/>
  <c r="J6" i="65" s="1"/>
  <c r="E1" i="66"/>
  <c r="I6" i="65" s="1"/>
  <c r="E2" i="67"/>
  <c r="E1" i="67"/>
  <c r="F2" i="71"/>
  <c r="B3" i="63"/>
  <c r="B2" i="63"/>
  <c r="B1" i="63"/>
  <c r="B3" i="62"/>
  <c r="B2" i="62"/>
  <c r="B1" i="62"/>
  <c r="B3" i="61"/>
  <c r="B2" i="61"/>
  <c r="B1" i="61"/>
  <c r="B3" i="60"/>
  <c r="B2" i="60"/>
  <c r="B1" i="60"/>
  <c r="B3" i="59"/>
  <c r="B2" i="59"/>
  <c r="B1" i="59"/>
  <c r="B3" i="58"/>
  <c r="B2" i="58"/>
  <c r="B1" i="58"/>
  <c r="B3" i="57"/>
  <c r="B2" i="57"/>
  <c r="B1" i="57"/>
  <c r="B3" i="56"/>
  <c r="B2" i="56"/>
  <c r="B1" i="56"/>
  <c r="B3" i="55"/>
  <c r="B2" i="55"/>
  <c r="B1" i="55"/>
  <c r="B3" i="64"/>
  <c r="B2" i="64"/>
  <c r="B1" i="64"/>
  <c r="B3" i="54"/>
  <c r="B2" i="54"/>
  <c r="B1" i="54"/>
  <c r="B3" i="53"/>
  <c r="B2" i="53"/>
  <c r="B1" i="53"/>
  <c r="B3" i="52"/>
  <c r="B2" i="52"/>
  <c r="B1" i="52"/>
  <c r="B3" i="51"/>
  <c r="B2" i="51"/>
  <c r="B1" i="51"/>
  <c r="B3" i="50"/>
  <c r="B2" i="50"/>
  <c r="B1" i="50"/>
  <c r="B3" i="49"/>
  <c r="B2" i="49"/>
  <c r="B1" i="49"/>
  <c r="B2" i="40"/>
  <c r="B3" i="40"/>
  <c r="B1" i="40"/>
  <c r="C3" i="66"/>
  <c r="E6" i="65" s="1"/>
  <c r="C2" i="66"/>
  <c r="C6" i="65" s="1"/>
  <c r="C1" i="66"/>
  <c r="B6" i="65" s="1"/>
  <c r="C3" i="67"/>
  <c r="C2" i="67"/>
  <c r="C1" i="67"/>
  <c r="F1" i="71"/>
  <c r="C2" i="71"/>
  <c r="C3" i="71"/>
  <c r="C1" i="71"/>
  <c r="D32" i="46" l="1"/>
  <c r="E32" i="46"/>
  <c r="D33" i="46"/>
  <c r="E33" i="46"/>
  <c r="D34" i="46"/>
  <c r="E34" i="46"/>
  <c r="D35" i="46"/>
  <c r="E35" i="46"/>
  <c r="D36" i="46"/>
  <c r="E36" i="46"/>
  <c r="D37" i="46"/>
  <c r="E37" i="46"/>
  <c r="D38" i="46"/>
  <c r="E38" i="46"/>
  <c r="D39" i="46"/>
  <c r="E39" i="46"/>
  <c r="D40" i="46"/>
  <c r="E40" i="46"/>
  <c r="D41" i="46"/>
  <c r="E41" i="46"/>
  <c r="D42" i="46"/>
  <c r="E42" i="46"/>
  <c r="D43" i="46"/>
  <c r="E43" i="46"/>
  <c r="D44" i="46"/>
  <c r="E44" i="46"/>
  <c r="D45" i="46"/>
  <c r="E45" i="46"/>
  <c r="D46" i="46"/>
  <c r="E46" i="46"/>
  <c r="D47" i="46"/>
  <c r="E47" i="46"/>
  <c r="D48" i="46"/>
  <c r="E48" i="46"/>
  <c r="D49" i="46"/>
  <c r="E49" i="46"/>
  <c r="D50" i="46"/>
  <c r="E50" i="46"/>
  <c r="D51" i="46"/>
  <c r="E51" i="46"/>
  <c r="D52" i="46"/>
  <c r="E52" i="46"/>
  <c r="D53" i="46"/>
  <c r="E53" i="46"/>
  <c r="E31" i="46"/>
  <c r="D8" i="46"/>
  <c r="E8" i="46"/>
  <c r="F8" i="46"/>
  <c r="D9" i="46"/>
  <c r="E9" i="46"/>
  <c r="F9" i="46"/>
  <c r="D10" i="46"/>
  <c r="E10" i="46"/>
  <c r="F10" i="46"/>
  <c r="D11" i="46"/>
  <c r="E11" i="46"/>
  <c r="F11" i="46"/>
  <c r="D12" i="46"/>
  <c r="E12" i="46"/>
  <c r="F12" i="46"/>
  <c r="D13" i="46"/>
  <c r="E13" i="46"/>
  <c r="F13" i="46"/>
  <c r="D14" i="46"/>
  <c r="E14" i="46"/>
  <c r="F14" i="46"/>
  <c r="D15" i="46"/>
  <c r="E15" i="46"/>
  <c r="F15" i="46"/>
  <c r="D16" i="46"/>
  <c r="E16" i="46"/>
  <c r="F16" i="46"/>
  <c r="D17" i="46"/>
  <c r="E17" i="46"/>
  <c r="F17" i="46"/>
  <c r="D18" i="46"/>
  <c r="E18" i="46"/>
  <c r="F18" i="46"/>
  <c r="D19" i="46"/>
  <c r="E19" i="46"/>
  <c r="F19" i="46"/>
  <c r="D20" i="46"/>
  <c r="E20" i="46"/>
  <c r="F20" i="46"/>
  <c r="D21" i="46"/>
  <c r="E21" i="46"/>
  <c r="F21" i="46"/>
  <c r="D22" i="46"/>
  <c r="E22" i="46"/>
  <c r="F22" i="46"/>
  <c r="D23" i="46"/>
  <c r="E23" i="46"/>
  <c r="F23" i="46"/>
  <c r="D24" i="46"/>
  <c r="E24" i="46"/>
  <c r="F24" i="46"/>
  <c r="D25" i="46"/>
  <c r="E25" i="46"/>
  <c r="F25" i="46"/>
  <c r="D26" i="46"/>
  <c r="E26" i="46"/>
  <c r="F26" i="46"/>
  <c r="E7" i="46"/>
  <c r="K43" i="46"/>
  <c r="K44" i="46"/>
  <c r="K45" i="46"/>
  <c r="K46" i="46"/>
  <c r="K47" i="46"/>
  <c r="K48" i="46"/>
  <c r="K49" i="46"/>
  <c r="K50" i="46"/>
  <c r="K51" i="46"/>
  <c r="K52" i="46"/>
  <c r="K53" i="46"/>
  <c r="K32" i="46"/>
  <c r="K33" i="46"/>
  <c r="K34" i="46"/>
  <c r="K35" i="46"/>
  <c r="K36" i="46"/>
  <c r="K37" i="46"/>
  <c r="K38" i="46"/>
  <c r="K39" i="46"/>
  <c r="K40" i="46"/>
  <c r="K41" i="46"/>
  <c r="K42" i="46"/>
  <c r="K31" i="46"/>
  <c r="K8" i="46"/>
  <c r="K9" i="46"/>
  <c r="K10" i="46"/>
  <c r="K11" i="46"/>
  <c r="K12" i="46"/>
  <c r="K13" i="46"/>
  <c r="K14" i="46"/>
  <c r="K15" i="46"/>
  <c r="K16" i="46"/>
  <c r="K17" i="46"/>
  <c r="K18" i="46"/>
  <c r="K19" i="46"/>
  <c r="K20" i="46"/>
  <c r="K21" i="46"/>
  <c r="K22" i="46"/>
  <c r="K23" i="46"/>
  <c r="K24" i="46"/>
  <c r="K25" i="46"/>
  <c r="K26" i="46"/>
  <c r="K7" i="46"/>
  <c r="AY9" i="66"/>
  <c r="AZ9" i="66"/>
  <c r="BA9" i="66"/>
  <c r="AY10" i="66"/>
  <c r="AZ10" i="66"/>
  <c r="BA10" i="66"/>
  <c r="AY11" i="66"/>
  <c r="AZ11" i="66"/>
  <c r="BA11" i="66"/>
  <c r="AY12" i="66"/>
  <c r="AZ12" i="66"/>
  <c r="BA12" i="66"/>
  <c r="AY13" i="66"/>
  <c r="AZ13" i="66"/>
  <c r="BA13" i="66"/>
  <c r="AY14" i="66"/>
  <c r="AZ14" i="66"/>
  <c r="BA14" i="66"/>
  <c r="AY15" i="66"/>
  <c r="AZ15" i="66"/>
  <c r="BA15" i="66"/>
  <c r="AY16" i="66"/>
  <c r="AZ16" i="66"/>
  <c r="BA16" i="66"/>
  <c r="AY17" i="66"/>
  <c r="AZ17" i="66"/>
  <c r="BA17" i="66"/>
  <c r="AY18" i="66"/>
  <c r="AZ18" i="66"/>
  <c r="BA18" i="66"/>
  <c r="AY19" i="66"/>
  <c r="AZ19" i="66"/>
  <c r="BA19" i="66"/>
  <c r="AY20" i="66"/>
  <c r="AZ20" i="66"/>
  <c r="BA20" i="66"/>
  <c r="AY21" i="66"/>
  <c r="AZ21" i="66"/>
  <c r="BA21" i="66"/>
  <c r="AY22" i="66"/>
  <c r="AZ22" i="66"/>
  <c r="BA22" i="66"/>
  <c r="AY23" i="66"/>
  <c r="AZ23" i="66"/>
  <c r="BA23" i="66"/>
  <c r="AY24" i="66"/>
  <c r="AZ24" i="66"/>
  <c r="BA24" i="66"/>
  <c r="AY25" i="66"/>
  <c r="AZ25" i="66"/>
  <c r="BA25" i="66"/>
  <c r="AY26" i="66"/>
  <c r="AZ26" i="66"/>
  <c r="BA26" i="66"/>
  <c r="AY27" i="66"/>
  <c r="AZ27" i="66"/>
  <c r="BA27" i="66"/>
  <c r="AY28" i="66"/>
  <c r="AZ28" i="66"/>
  <c r="BA28" i="66"/>
  <c r="AY29" i="66"/>
  <c r="AZ29" i="66"/>
  <c r="BA29" i="66"/>
  <c r="AY30" i="66"/>
  <c r="AZ30" i="66"/>
  <c r="BA30" i="66"/>
  <c r="AY31" i="66"/>
  <c r="AZ31" i="66"/>
  <c r="BA31" i="66"/>
  <c r="BA8" i="66"/>
  <c r="AY8" i="66"/>
  <c r="AR9" i="66"/>
  <c r="AS9" i="66"/>
  <c r="AT9" i="66"/>
  <c r="AR10" i="66"/>
  <c r="AS10" i="66"/>
  <c r="AT10" i="66"/>
  <c r="AR11" i="66"/>
  <c r="AS11" i="66"/>
  <c r="AT11" i="66"/>
  <c r="AR12" i="66"/>
  <c r="AS12" i="66"/>
  <c r="AT12" i="66"/>
  <c r="AR13" i="66"/>
  <c r="AS13" i="66"/>
  <c r="AT13" i="66"/>
  <c r="AR14" i="66"/>
  <c r="AS14" i="66"/>
  <c r="AT14" i="66"/>
  <c r="AR15" i="66"/>
  <c r="AS15" i="66"/>
  <c r="AT15" i="66"/>
  <c r="AR16" i="66"/>
  <c r="AS16" i="66"/>
  <c r="AT16" i="66"/>
  <c r="AR17" i="66"/>
  <c r="AS17" i="66"/>
  <c r="AT17" i="66"/>
  <c r="AR18" i="66"/>
  <c r="AS18" i="66"/>
  <c r="AT18" i="66"/>
  <c r="AR19" i="66"/>
  <c r="AS19" i="66"/>
  <c r="AT19" i="66"/>
  <c r="AR20" i="66"/>
  <c r="AS20" i="66"/>
  <c r="AT20" i="66"/>
  <c r="AR21" i="66"/>
  <c r="AS21" i="66"/>
  <c r="AT21" i="66"/>
  <c r="AR22" i="66"/>
  <c r="AS22" i="66"/>
  <c r="AT22" i="66"/>
  <c r="AR23" i="66"/>
  <c r="AS23" i="66"/>
  <c r="AT23" i="66"/>
  <c r="AR24" i="66"/>
  <c r="AS24" i="66"/>
  <c r="AT24" i="66"/>
  <c r="AR25" i="66"/>
  <c r="AS25" i="66"/>
  <c r="AT25" i="66"/>
  <c r="AR26" i="66"/>
  <c r="AS26" i="66"/>
  <c r="AT26" i="66"/>
  <c r="AR27" i="66"/>
  <c r="AS27" i="66"/>
  <c r="AT27" i="66"/>
  <c r="AR28" i="66"/>
  <c r="AS28" i="66"/>
  <c r="AT28" i="66"/>
  <c r="AR29" i="66"/>
  <c r="AS29" i="66"/>
  <c r="AT29" i="66"/>
  <c r="AR30" i="66"/>
  <c r="AS30" i="66"/>
  <c r="AT30" i="66"/>
  <c r="AR31" i="66"/>
  <c r="AS31" i="66"/>
  <c r="AT31" i="66"/>
  <c r="AT8" i="66"/>
  <c r="AR8" i="66"/>
  <c r="AK9" i="66"/>
  <c r="AL9" i="66"/>
  <c r="AM9" i="66"/>
  <c r="AK10" i="66"/>
  <c r="AL10" i="66"/>
  <c r="AM10" i="66"/>
  <c r="AK11" i="66"/>
  <c r="AL11" i="66"/>
  <c r="AM11" i="66"/>
  <c r="AK12" i="66"/>
  <c r="AL12" i="66"/>
  <c r="AM12" i="66"/>
  <c r="AK13" i="66"/>
  <c r="AL13" i="66"/>
  <c r="AM13" i="66"/>
  <c r="AK14" i="66"/>
  <c r="AL14" i="66"/>
  <c r="AM14" i="66"/>
  <c r="AK15" i="66"/>
  <c r="AL15" i="66"/>
  <c r="AM15" i="66"/>
  <c r="AK16" i="66"/>
  <c r="AL16" i="66"/>
  <c r="AM16" i="66"/>
  <c r="AK17" i="66"/>
  <c r="AL17" i="66"/>
  <c r="AM17" i="66"/>
  <c r="AK18" i="66"/>
  <c r="AL18" i="66"/>
  <c r="AM18" i="66"/>
  <c r="AK19" i="66"/>
  <c r="AL19" i="66"/>
  <c r="AM19" i="66"/>
  <c r="AK20" i="66"/>
  <c r="AL20" i="66"/>
  <c r="AM20" i="66"/>
  <c r="AK21" i="66"/>
  <c r="AL21" i="66"/>
  <c r="AM21" i="66"/>
  <c r="AK22" i="66"/>
  <c r="AL22" i="66"/>
  <c r="AM22" i="66"/>
  <c r="AK23" i="66"/>
  <c r="AL23" i="66"/>
  <c r="AM23" i="66"/>
  <c r="AK24" i="66"/>
  <c r="AL24" i="66"/>
  <c r="AM24" i="66"/>
  <c r="AK25" i="66"/>
  <c r="AL25" i="66"/>
  <c r="AM25" i="66"/>
  <c r="AK26" i="66"/>
  <c r="AL26" i="66"/>
  <c r="AM26" i="66"/>
  <c r="AK27" i="66"/>
  <c r="AL27" i="66"/>
  <c r="AM27" i="66"/>
  <c r="AK28" i="66"/>
  <c r="AL28" i="66"/>
  <c r="AM28" i="66"/>
  <c r="AK29" i="66"/>
  <c r="AL29" i="66"/>
  <c r="AM29" i="66"/>
  <c r="AK30" i="66"/>
  <c r="AL30" i="66"/>
  <c r="AM30" i="66"/>
  <c r="AK31" i="66"/>
  <c r="AL31" i="66"/>
  <c r="AM31" i="66"/>
  <c r="AM8" i="66"/>
  <c r="AK8" i="66"/>
  <c r="AD9" i="66"/>
  <c r="AE9" i="66"/>
  <c r="AF9" i="66"/>
  <c r="AD10" i="66"/>
  <c r="AE10" i="66"/>
  <c r="AF10" i="66"/>
  <c r="AD11" i="66"/>
  <c r="AE11" i="66"/>
  <c r="AF11" i="66"/>
  <c r="AD12" i="66"/>
  <c r="AE12" i="66"/>
  <c r="AF12" i="66"/>
  <c r="AD13" i="66"/>
  <c r="AE13" i="66"/>
  <c r="AF13" i="66"/>
  <c r="AD14" i="66"/>
  <c r="AE14" i="66"/>
  <c r="AF14" i="66"/>
  <c r="AD15" i="66"/>
  <c r="AE15" i="66"/>
  <c r="AF15" i="66"/>
  <c r="AD16" i="66"/>
  <c r="AE16" i="66"/>
  <c r="AF16" i="66"/>
  <c r="AD17" i="66"/>
  <c r="AE17" i="66"/>
  <c r="AF17" i="66"/>
  <c r="AD18" i="66"/>
  <c r="AE18" i="66"/>
  <c r="AF18" i="66"/>
  <c r="AD19" i="66"/>
  <c r="AE19" i="66"/>
  <c r="AF19" i="66"/>
  <c r="AD20" i="66"/>
  <c r="AE20" i="66"/>
  <c r="AF20" i="66"/>
  <c r="AD21" i="66"/>
  <c r="AE21" i="66"/>
  <c r="AF21" i="66"/>
  <c r="AD22" i="66"/>
  <c r="AE22" i="66"/>
  <c r="AF22" i="66"/>
  <c r="AD23" i="66"/>
  <c r="AE23" i="66"/>
  <c r="AF23" i="66"/>
  <c r="AD24" i="66"/>
  <c r="AE24" i="66"/>
  <c r="AF24" i="66"/>
  <c r="AD25" i="66"/>
  <c r="AE25" i="66"/>
  <c r="AF25" i="66"/>
  <c r="AD26" i="66"/>
  <c r="AE26" i="66"/>
  <c r="AF26" i="66"/>
  <c r="AD27" i="66"/>
  <c r="AE27" i="66"/>
  <c r="AF27" i="66"/>
  <c r="AD28" i="66"/>
  <c r="AE28" i="66"/>
  <c r="AF28" i="66"/>
  <c r="AD29" i="66"/>
  <c r="AE29" i="66"/>
  <c r="AF29" i="66"/>
  <c r="AD30" i="66"/>
  <c r="AE30" i="66"/>
  <c r="AF30" i="66"/>
  <c r="AD31" i="66"/>
  <c r="AE31" i="66"/>
  <c r="AF31" i="66"/>
  <c r="AF8" i="66"/>
  <c r="AD8" i="66"/>
  <c r="W9" i="66"/>
  <c r="X9" i="66"/>
  <c r="Y9" i="66"/>
  <c r="W10" i="66"/>
  <c r="X10" i="66"/>
  <c r="Y10" i="66"/>
  <c r="W11" i="66"/>
  <c r="X11" i="66"/>
  <c r="Y11" i="66"/>
  <c r="W12" i="66"/>
  <c r="X12" i="66"/>
  <c r="Y12" i="66"/>
  <c r="W13" i="66"/>
  <c r="X13" i="66"/>
  <c r="Y13" i="66"/>
  <c r="W14" i="66"/>
  <c r="X14" i="66"/>
  <c r="Y14" i="66"/>
  <c r="W15" i="66"/>
  <c r="X15" i="66"/>
  <c r="Y15" i="66"/>
  <c r="W16" i="66"/>
  <c r="X16" i="66"/>
  <c r="Y16" i="66"/>
  <c r="W17" i="66"/>
  <c r="X17" i="66"/>
  <c r="Y17" i="66"/>
  <c r="W18" i="66"/>
  <c r="X18" i="66"/>
  <c r="Y18" i="66"/>
  <c r="W19" i="66"/>
  <c r="X19" i="66"/>
  <c r="Y19" i="66"/>
  <c r="W20" i="66"/>
  <c r="X20" i="66"/>
  <c r="Y20" i="66"/>
  <c r="W21" i="66"/>
  <c r="X21" i="66"/>
  <c r="Y21" i="66"/>
  <c r="W22" i="66"/>
  <c r="X22" i="66"/>
  <c r="Y22" i="66"/>
  <c r="W23" i="66"/>
  <c r="X23" i="66"/>
  <c r="Y23" i="66"/>
  <c r="W24" i="66"/>
  <c r="X24" i="66"/>
  <c r="Y24" i="66"/>
  <c r="W25" i="66"/>
  <c r="X25" i="66"/>
  <c r="Y25" i="66"/>
  <c r="W26" i="66"/>
  <c r="X26" i="66"/>
  <c r="Y26" i="66"/>
  <c r="W27" i="66"/>
  <c r="X27" i="66"/>
  <c r="Y27" i="66"/>
  <c r="W28" i="66"/>
  <c r="X28" i="66"/>
  <c r="Y28" i="66"/>
  <c r="W29" i="66"/>
  <c r="X29" i="66"/>
  <c r="Y29" i="66"/>
  <c r="W30" i="66"/>
  <c r="X30" i="66"/>
  <c r="Y30" i="66"/>
  <c r="W31" i="66"/>
  <c r="X31" i="66"/>
  <c r="Y31" i="66"/>
  <c r="Y8" i="66"/>
  <c r="W8" i="66"/>
  <c r="X9" i="67"/>
  <c r="Y9" i="67"/>
  <c r="Z9" i="67"/>
  <c r="X10" i="67"/>
  <c r="Y10" i="67"/>
  <c r="Z10" i="67"/>
  <c r="X11" i="67"/>
  <c r="Y11" i="67"/>
  <c r="Z11" i="67"/>
  <c r="X12" i="67"/>
  <c r="Y12" i="67"/>
  <c r="Z12" i="67"/>
  <c r="X13" i="67"/>
  <c r="Y13" i="67"/>
  <c r="Z13" i="67"/>
  <c r="X14" i="67"/>
  <c r="Y14" i="67"/>
  <c r="Z14" i="67"/>
  <c r="X15" i="67"/>
  <c r="Y15" i="67"/>
  <c r="Z15" i="67"/>
  <c r="X16" i="67"/>
  <c r="Y16" i="67"/>
  <c r="Z16" i="67"/>
  <c r="X17" i="67"/>
  <c r="Y17" i="67"/>
  <c r="Z17" i="67"/>
  <c r="X18" i="67"/>
  <c r="Y18" i="67"/>
  <c r="Z18" i="67"/>
  <c r="X19" i="67"/>
  <c r="Y19" i="67"/>
  <c r="Z19" i="67"/>
  <c r="X20" i="67"/>
  <c r="Y20" i="67"/>
  <c r="Z20" i="67"/>
  <c r="X21" i="67"/>
  <c r="Y21" i="67"/>
  <c r="Z21" i="67"/>
  <c r="X22" i="67"/>
  <c r="Y22" i="67"/>
  <c r="Z22" i="67"/>
  <c r="X23" i="67"/>
  <c r="Y23" i="67"/>
  <c r="Z23" i="67"/>
  <c r="X24" i="67"/>
  <c r="Y24" i="67"/>
  <c r="Z24" i="67"/>
  <c r="X25" i="67"/>
  <c r="Y25" i="67"/>
  <c r="Z25" i="67"/>
  <c r="X26" i="67"/>
  <c r="Y26" i="67"/>
  <c r="Z26" i="67"/>
  <c r="X27" i="67"/>
  <c r="Y27" i="67"/>
  <c r="Z27" i="67"/>
  <c r="X28" i="67"/>
  <c r="Y28" i="67"/>
  <c r="Z28" i="67"/>
  <c r="X29" i="67"/>
  <c r="Y29" i="67"/>
  <c r="Z29" i="67"/>
  <c r="X30" i="67"/>
  <c r="Y30" i="67"/>
  <c r="Z30" i="67"/>
  <c r="X31" i="67"/>
  <c r="Y31" i="67"/>
  <c r="Z31" i="67"/>
  <c r="AE9" i="67"/>
  <c r="AF9" i="67"/>
  <c r="AG9" i="67"/>
  <c r="AE10" i="67"/>
  <c r="AF10" i="67"/>
  <c r="AG10" i="67"/>
  <c r="AE11" i="67"/>
  <c r="AF11" i="67"/>
  <c r="AG11" i="67"/>
  <c r="AE12" i="67"/>
  <c r="AF12" i="67"/>
  <c r="AG12" i="67"/>
  <c r="AE13" i="67"/>
  <c r="AF13" i="67"/>
  <c r="AG13" i="67"/>
  <c r="AE14" i="67"/>
  <c r="AF14" i="67"/>
  <c r="AG14" i="67"/>
  <c r="AE15" i="67"/>
  <c r="AF15" i="67"/>
  <c r="AG15" i="67"/>
  <c r="AE16" i="67"/>
  <c r="AF16" i="67"/>
  <c r="AG16" i="67"/>
  <c r="AE17" i="67"/>
  <c r="AF17" i="67"/>
  <c r="AG17" i="67"/>
  <c r="AE18" i="67"/>
  <c r="AF18" i="67"/>
  <c r="AG18" i="67"/>
  <c r="AE19" i="67"/>
  <c r="AF19" i="67"/>
  <c r="AG19" i="67"/>
  <c r="AE20" i="67"/>
  <c r="AF20" i="67"/>
  <c r="AG20" i="67"/>
  <c r="AE21" i="67"/>
  <c r="AF21" i="67"/>
  <c r="AG21" i="67"/>
  <c r="AE22" i="67"/>
  <c r="AF22" i="67"/>
  <c r="AG22" i="67"/>
  <c r="AE23" i="67"/>
  <c r="AF23" i="67"/>
  <c r="AG23" i="67"/>
  <c r="AE24" i="67"/>
  <c r="AF24" i="67"/>
  <c r="AG24" i="67"/>
  <c r="AE25" i="67"/>
  <c r="AF25" i="67"/>
  <c r="AG25" i="67"/>
  <c r="AE26" i="67"/>
  <c r="AF26" i="67"/>
  <c r="AG26" i="67"/>
  <c r="AE27" i="67"/>
  <c r="AF27" i="67"/>
  <c r="AG27" i="67"/>
  <c r="AE28" i="67"/>
  <c r="AF28" i="67"/>
  <c r="AG28" i="67"/>
  <c r="AE29" i="67"/>
  <c r="AF29" i="67"/>
  <c r="AG29" i="67"/>
  <c r="AE30" i="67"/>
  <c r="AF30" i="67"/>
  <c r="AG30" i="67"/>
  <c r="AE31" i="67"/>
  <c r="AF31" i="67"/>
  <c r="AG31" i="67"/>
  <c r="AL9" i="67"/>
  <c r="AM9" i="67"/>
  <c r="AN9" i="67"/>
  <c r="AL10" i="67"/>
  <c r="AM10" i="67"/>
  <c r="AN10" i="67"/>
  <c r="AL11" i="67"/>
  <c r="AM11" i="67"/>
  <c r="AN11" i="67"/>
  <c r="AL12" i="67"/>
  <c r="AM12" i="67"/>
  <c r="AN12" i="67"/>
  <c r="AL13" i="67"/>
  <c r="AM13" i="67"/>
  <c r="AN13" i="67"/>
  <c r="AL14" i="67"/>
  <c r="AM14" i="67"/>
  <c r="AN14" i="67"/>
  <c r="AL15" i="67"/>
  <c r="AM15" i="67"/>
  <c r="AN15" i="67"/>
  <c r="AL16" i="67"/>
  <c r="AM16" i="67"/>
  <c r="AN16" i="67"/>
  <c r="AL17" i="67"/>
  <c r="AM17" i="67"/>
  <c r="AN17" i="67"/>
  <c r="AL18" i="67"/>
  <c r="AM18" i="67"/>
  <c r="AN18" i="67"/>
  <c r="AL19" i="67"/>
  <c r="AM19" i="67"/>
  <c r="AN19" i="67"/>
  <c r="AL20" i="67"/>
  <c r="AM20" i="67"/>
  <c r="AN20" i="67"/>
  <c r="AL21" i="67"/>
  <c r="AM21" i="67"/>
  <c r="AN21" i="67"/>
  <c r="AL22" i="67"/>
  <c r="AM22" i="67"/>
  <c r="AN22" i="67"/>
  <c r="AL23" i="67"/>
  <c r="AM23" i="67"/>
  <c r="AN23" i="67"/>
  <c r="AL24" i="67"/>
  <c r="AM24" i="67"/>
  <c r="AN24" i="67"/>
  <c r="AL25" i="67"/>
  <c r="AM25" i="67"/>
  <c r="AN25" i="67"/>
  <c r="AL26" i="67"/>
  <c r="AM26" i="67"/>
  <c r="AN26" i="67"/>
  <c r="AL27" i="67"/>
  <c r="AM27" i="67"/>
  <c r="AN27" i="67"/>
  <c r="AL28" i="67"/>
  <c r="AM28" i="67"/>
  <c r="AN28" i="67"/>
  <c r="AL29" i="67"/>
  <c r="AM29" i="67"/>
  <c r="AN29" i="67"/>
  <c r="AL30" i="67"/>
  <c r="AM30" i="67"/>
  <c r="AN30" i="67"/>
  <c r="AL31" i="67"/>
  <c r="AM31" i="67"/>
  <c r="AN31" i="67"/>
  <c r="AS9" i="67"/>
  <c r="AT9" i="67"/>
  <c r="AU9" i="67"/>
  <c r="AS10" i="67"/>
  <c r="AT10" i="67"/>
  <c r="AU10" i="67"/>
  <c r="AS11" i="67"/>
  <c r="AT11" i="67"/>
  <c r="AU11" i="67"/>
  <c r="AS12" i="67"/>
  <c r="AT12" i="67"/>
  <c r="AU12" i="67"/>
  <c r="AS13" i="67"/>
  <c r="AT13" i="67"/>
  <c r="AU13" i="67"/>
  <c r="AS14" i="67"/>
  <c r="AT14" i="67"/>
  <c r="AU14" i="67"/>
  <c r="AS15" i="67"/>
  <c r="AT15" i="67"/>
  <c r="AU15" i="67"/>
  <c r="AS16" i="67"/>
  <c r="AT16" i="67"/>
  <c r="AU16" i="67"/>
  <c r="AS17" i="67"/>
  <c r="AT17" i="67"/>
  <c r="AU17" i="67"/>
  <c r="AS18" i="67"/>
  <c r="AT18" i="67"/>
  <c r="AU18" i="67"/>
  <c r="AS19" i="67"/>
  <c r="AT19" i="67"/>
  <c r="AU19" i="67"/>
  <c r="AS20" i="67"/>
  <c r="AT20" i="67"/>
  <c r="AU20" i="67"/>
  <c r="AS21" i="67"/>
  <c r="AT21" i="67"/>
  <c r="AU21" i="67"/>
  <c r="AS22" i="67"/>
  <c r="AT22" i="67"/>
  <c r="AU22" i="67"/>
  <c r="AS23" i="67"/>
  <c r="AT23" i="67"/>
  <c r="AU23" i="67"/>
  <c r="AS24" i="67"/>
  <c r="AT24" i="67"/>
  <c r="AU24" i="67"/>
  <c r="AS25" i="67"/>
  <c r="AT25" i="67"/>
  <c r="AU25" i="67"/>
  <c r="AS26" i="67"/>
  <c r="AT26" i="67"/>
  <c r="AU26" i="67"/>
  <c r="AS27" i="67"/>
  <c r="AT27" i="67"/>
  <c r="AU27" i="67"/>
  <c r="AS28" i="67"/>
  <c r="AT28" i="67"/>
  <c r="AU28" i="67"/>
  <c r="AS29" i="67"/>
  <c r="AT29" i="67"/>
  <c r="AU29" i="67"/>
  <c r="AS30" i="67"/>
  <c r="AT30" i="67"/>
  <c r="AU30" i="67"/>
  <c r="AS31" i="67"/>
  <c r="AT31" i="67"/>
  <c r="AU31" i="67"/>
  <c r="AU8" i="67"/>
  <c r="AT8" i="67"/>
  <c r="AS8" i="67"/>
  <c r="AN8" i="67"/>
  <c r="AM8" i="67"/>
  <c r="AL8" i="67"/>
  <c r="AG8" i="67"/>
  <c r="AF8" i="67"/>
  <c r="Y8" i="67"/>
  <c r="AE8" i="67"/>
  <c r="Z8" i="67"/>
  <c r="X8" i="67"/>
  <c r="AE11" i="71"/>
  <c r="AF11" i="71"/>
  <c r="AG11" i="71"/>
  <c r="AE12" i="71"/>
  <c r="AF12" i="71"/>
  <c r="AG12" i="71"/>
  <c r="AE13" i="71"/>
  <c r="AF13" i="71"/>
  <c r="AG13" i="71"/>
  <c r="AE14" i="71"/>
  <c r="AF14" i="71"/>
  <c r="AG14" i="71"/>
  <c r="AE15" i="71"/>
  <c r="AF15" i="71"/>
  <c r="AG15" i="71"/>
  <c r="AE16" i="71"/>
  <c r="AF16" i="71"/>
  <c r="AG16" i="71"/>
  <c r="AE17" i="71"/>
  <c r="AF17" i="71"/>
  <c r="AG17" i="71"/>
  <c r="AE18" i="71"/>
  <c r="AF18" i="71"/>
  <c r="AG18" i="71"/>
  <c r="AE19" i="71"/>
  <c r="AF19" i="71"/>
  <c r="AG19" i="71"/>
  <c r="AE20" i="71"/>
  <c r="AF20" i="71"/>
  <c r="AG20" i="71"/>
  <c r="AE21" i="71"/>
  <c r="AF21" i="71"/>
  <c r="AG21" i="71"/>
  <c r="AE22" i="71"/>
  <c r="AF22" i="71"/>
  <c r="AG22" i="71"/>
  <c r="AE23" i="71"/>
  <c r="AF23" i="71"/>
  <c r="AG23" i="71"/>
  <c r="AE24" i="71"/>
  <c r="AF24" i="71"/>
  <c r="AG24" i="71"/>
  <c r="AE25" i="71"/>
  <c r="AF25" i="71"/>
  <c r="AG25" i="71"/>
  <c r="AE26" i="71"/>
  <c r="AF26" i="71"/>
  <c r="AG26" i="71"/>
  <c r="AE27" i="71"/>
  <c r="AF27" i="71"/>
  <c r="AG27" i="71"/>
  <c r="AE28" i="71"/>
  <c r="AF28" i="71"/>
  <c r="AG28" i="71"/>
  <c r="AE29" i="71"/>
  <c r="AF29" i="71"/>
  <c r="AG29" i="71"/>
  <c r="AE30" i="71"/>
  <c r="AF30" i="71"/>
  <c r="AG30" i="71"/>
  <c r="AE31" i="71"/>
  <c r="AF31" i="71"/>
  <c r="AG31" i="71"/>
  <c r="AG10" i="71"/>
  <c r="AE10" i="71"/>
  <c r="X11" i="71"/>
  <c r="Y11" i="71"/>
  <c r="Z11" i="71"/>
  <c r="X12" i="71"/>
  <c r="Y12" i="71"/>
  <c r="Z12" i="71"/>
  <c r="X13" i="71"/>
  <c r="Y13" i="71"/>
  <c r="Z13" i="71"/>
  <c r="X14" i="71"/>
  <c r="Y14" i="71"/>
  <c r="Z14" i="71"/>
  <c r="X15" i="71"/>
  <c r="Y15" i="71"/>
  <c r="Z15" i="71"/>
  <c r="X16" i="71"/>
  <c r="Y16" i="71"/>
  <c r="Z16" i="71"/>
  <c r="X17" i="71"/>
  <c r="Y17" i="71"/>
  <c r="Z17" i="71"/>
  <c r="X18" i="71"/>
  <c r="Y18" i="71"/>
  <c r="Z18" i="71"/>
  <c r="X19" i="71"/>
  <c r="Y19" i="71"/>
  <c r="Z19" i="71"/>
  <c r="X20" i="71"/>
  <c r="Y20" i="71"/>
  <c r="Z20" i="71"/>
  <c r="X21" i="71"/>
  <c r="Y21" i="71"/>
  <c r="Z21" i="71"/>
  <c r="X22" i="71"/>
  <c r="Y22" i="71"/>
  <c r="Z22" i="71"/>
  <c r="X23" i="71"/>
  <c r="Y23" i="71"/>
  <c r="Z23" i="71"/>
  <c r="X24" i="71"/>
  <c r="Y24" i="71"/>
  <c r="Z24" i="71"/>
  <c r="X25" i="71"/>
  <c r="Y25" i="71"/>
  <c r="Z25" i="71"/>
  <c r="X26" i="71"/>
  <c r="Y26" i="71"/>
  <c r="Z26" i="71"/>
  <c r="X27" i="71"/>
  <c r="Y27" i="71"/>
  <c r="Z27" i="71"/>
  <c r="X28" i="71"/>
  <c r="Y28" i="71"/>
  <c r="Z28" i="71"/>
  <c r="X29" i="71"/>
  <c r="Y29" i="71"/>
  <c r="Z29" i="71"/>
  <c r="X30" i="71"/>
  <c r="Y30" i="71"/>
  <c r="Z30" i="71"/>
  <c r="X31" i="71"/>
  <c r="Y31" i="71"/>
  <c r="Z31" i="71"/>
  <c r="Z10" i="71"/>
  <c r="X10" i="71"/>
  <c r="BC9" i="41"/>
  <c r="BD9" i="41"/>
  <c r="BE9" i="41"/>
  <c r="BC10" i="41"/>
  <c r="BD10" i="41"/>
  <c r="BE10" i="41"/>
  <c r="BC11" i="41"/>
  <c r="BD11" i="41"/>
  <c r="BE11" i="41"/>
  <c r="BC12" i="41"/>
  <c r="BD12" i="41"/>
  <c r="BE12" i="41"/>
  <c r="BC13" i="41"/>
  <c r="BD13" i="41"/>
  <c r="BE13" i="41"/>
  <c r="BC14" i="41"/>
  <c r="BD14" i="41"/>
  <c r="BE14" i="41"/>
  <c r="BC15" i="41"/>
  <c r="BD15" i="41"/>
  <c r="BE15" i="41"/>
  <c r="BC16" i="41"/>
  <c r="BD16" i="41"/>
  <c r="BE16" i="41"/>
  <c r="BC17" i="41"/>
  <c r="BD17" i="41"/>
  <c r="BE17" i="41"/>
  <c r="BC18" i="41"/>
  <c r="BD18" i="41"/>
  <c r="BE18" i="41"/>
  <c r="BC19" i="41"/>
  <c r="BD19" i="41"/>
  <c r="BE19" i="41"/>
  <c r="BC20" i="41"/>
  <c r="BD20" i="41"/>
  <c r="BE20" i="41"/>
  <c r="BC21" i="41"/>
  <c r="BD21" i="41"/>
  <c r="BE21" i="41"/>
  <c r="BC22" i="41"/>
  <c r="BD22" i="41"/>
  <c r="BE22" i="41"/>
  <c r="BC23" i="41"/>
  <c r="BD23" i="41"/>
  <c r="BE23" i="41"/>
  <c r="BC24" i="41"/>
  <c r="BD24" i="41"/>
  <c r="BE24" i="41"/>
  <c r="BC25" i="41"/>
  <c r="BD25" i="41"/>
  <c r="BE25" i="41"/>
  <c r="BC26" i="41"/>
  <c r="BD26" i="41"/>
  <c r="BE26" i="41"/>
  <c r="BC27" i="41"/>
  <c r="BD27" i="41"/>
  <c r="BE27" i="41"/>
  <c r="BC28" i="41"/>
  <c r="BD28" i="41"/>
  <c r="BE28" i="41"/>
  <c r="BC29" i="41"/>
  <c r="BD29" i="41"/>
  <c r="BE29" i="41"/>
  <c r="BC30" i="41"/>
  <c r="BD30" i="41"/>
  <c r="BE30" i="41"/>
  <c r="BC31" i="41"/>
  <c r="BD31" i="41"/>
  <c r="BE31" i="41"/>
  <c r="BE8" i="41"/>
  <c r="BC8" i="41"/>
  <c r="AV9" i="41"/>
  <c r="AW9" i="41"/>
  <c r="AX9" i="41"/>
  <c r="AV10" i="41"/>
  <c r="AW10" i="41"/>
  <c r="AX10" i="41"/>
  <c r="AV11" i="41"/>
  <c r="AW11" i="41"/>
  <c r="AX11" i="41"/>
  <c r="AV12" i="41"/>
  <c r="AW12" i="41"/>
  <c r="AX12" i="41"/>
  <c r="AV13" i="41"/>
  <c r="AW13" i="41"/>
  <c r="AX13" i="41"/>
  <c r="AV14" i="41"/>
  <c r="AW14" i="41"/>
  <c r="AX14" i="41"/>
  <c r="AV15" i="41"/>
  <c r="AW15" i="41"/>
  <c r="AX15" i="41"/>
  <c r="AV16" i="41"/>
  <c r="AW16" i="41"/>
  <c r="AX16" i="41"/>
  <c r="AV17" i="41"/>
  <c r="AW17" i="41"/>
  <c r="AX17" i="41"/>
  <c r="AV18" i="41"/>
  <c r="AW18" i="41"/>
  <c r="AX18" i="41"/>
  <c r="AV19" i="41"/>
  <c r="AW19" i="41"/>
  <c r="AX19" i="41"/>
  <c r="AV20" i="41"/>
  <c r="AW20" i="41"/>
  <c r="AX20" i="41"/>
  <c r="AV21" i="41"/>
  <c r="AW21" i="41"/>
  <c r="AX21" i="41"/>
  <c r="AV22" i="41"/>
  <c r="AW22" i="41"/>
  <c r="AX22" i="41"/>
  <c r="AV23" i="41"/>
  <c r="AW23" i="41"/>
  <c r="AX23" i="41"/>
  <c r="AV24" i="41"/>
  <c r="AW24" i="41"/>
  <c r="AX24" i="41"/>
  <c r="AV25" i="41"/>
  <c r="AW25" i="41"/>
  <c r="AX25" i="41"/>
  <c r="AV26" i="41"/>
  <c r="AW26" i="41"/>
  <c r="AX26" i="41"/>
  <c r="AV27" i="41"/>
  <c r="AW27" i="41"/>
  <c r="AX27" i="41"/>
  <c r="AV28" i="41"/>
  <c r="AW28" i="41"/>
  <c r="AX28" i="41"/>
  <c r="AV29" i="41"/>
  <c r="AW29" i="41"/>
  <c r="AX29" i="41"/>
  <c r="AV30" i="41"/>
  <c r="AW30" i="41"/>
  <c r="AX30" i="41"/>
  <c r="AV31" i="41"/>
  <c r="AW31" i="41"/>
  <c r="AX31" i="41"/>
  <c r="AX8" i="41"/>
  <c r="AV8" i="41"/>
  <c r="AO9" i="41"/>
  <c r="AP9" i="41"/>
  <c r="AQ9" i="41"/>
  <c r="AO10" i="41"/>
  <c r="AP10" i="41"/>
  <c r="AQ10" i="41"/>
  <c r="AO11" i="41"/>
  <c r="AP11" i="41"/>
  <c r="AQ11" i="41"/>
  <c r="AO12" i="41"/>
  <c r="AP12" i="41"/>
  <c r="AQ12" i="41"/>
  <c r="AO13" i="41"/>
  <c r="AP13" i="41"/>
  <c r="AQ13" i="41"/>
  <c r="AO14" i="41"/>
  <c r="AP14" i="41"/>
  <c r="AQ14" i="41"/>
  <c r="AO15" i="41"/>
  <c r="AP15" i="41"/>
  <c r="AQ15" i="41"/>
  <c r="AO16" i="41"/>
  <c r="AP16" i="41"/>
  <c r="AQ16" i="41"/>
  <c r="AO17" i="41"/>
  <c r="AP17" i="41"/>
  <c r="AQ17" i="41"/>
  <c r="AO18" i="41"/>
  <c r="AP18" i="41"/>
  <c r="AQ18" i="41"/>
  <c r="AO19" i="41"/>
  <c r="AP19" i="41"/>
  <c r="AQ19" i="41"/>
  <c r="AO20" i="41"/>
  <c r="AP20" i="41"/>
  <c r="AQ20" i="41"/>
  <c r="AO21" i="41"/>
  <c r="AP21" i="41"/>
  <c r="AQ21" i="41"/>
  <c r="AO22" i="41"/>
  <c r="AP22" i="41"/>
  <c r="AQ22" i="41"/>
  <c r="AO23" i="41"/>
  <c r="AP23" i="41"/>
  <c r="AQ23" i="41"/>
  <c r="AO24" i="41"/>
  <c r="AP24" i="41"/>
  <c r="AQ24" i="41"/>
  <c r="AO25" i="41"/>
  <c r="AP25" i="41"/>
  <c r="AQ25" i="41"/>
  <c r="AO26" i="41"/>
  <c r="AP26" i="41"/>
  <c r="AQ26" i="41"/>
  <c r="AO27" i="41"/>
  <c r="AP27" i="41"/>
  <c r="AQ27" i="41"/>
  <c r="AO28" i="41"/>
  <c r="AP28" i="41"/>
  <c r="AQ28" i="41"/>
  <c r="AO29" i="41"/>
  <c r="AP29" i="41"/>
  <c r="AQ29" i="41"/>
  <c r="AO30" i="41"/>
  <c r="AP30" i="41"/>
  <c r="AQ30" i="41"/>
  <c r="AO31" i="41"/>
  <c r="AP31" i="41"/>
  <c r="AQ31" i="41"/>
  <c r="AQ8" i="41"/>
  <c r="AO8" i="41"/>
  <c r="AH9" i="41"/>
  <c r="AI9" i="41"/>
  <c r="AJ9" i="41"/>
  <c r="AH10" i="41"/>
  <c r="AI10" i="41"/>
  <c r="AJ10" i="41"/>
  <c r="AH11" i="41"/>
  <c r="AI11" i="41"/>
  <c r="AJ11" i="41"/>
  <c r="AH12" i="41"/>
  <c r="AI12" i="41"/>
  <c r="AJ12" i="41"/>
  <c r="AH13" i="41"/>
  <c r="AI13" i="41"/>
  <c r="AJ13" i="41"/>
  <c r="AH14" i="41"/>
  <c r="AI14" i="41"/>
  <c r="AJ14" i="41"/>
  <c r="AH15" i="41"/>
  <c r="AI15" i="41"/>
  <c r="AJ15" i="41"/>
  <c r="AH16" i="41"/>
  <c r="AI16" i="41"/>
  <c r="AJ16" i="41"/>
  <c r="AH17" i="41"/>
  <c r="AI17" i="41"/>
  <c r="AJ17" i="41"/>
  <c r="AH18" i="41"/>
  <c r="AI18" i="41"/>
  <c r="AJ18" i="41"/>
  <c r="AH19" i="41"/>
  <c r="AI19" i="41"/>
  <c r="AJ19" i="41"/>
  <c r="AH20" i="41"/>
  <c r="AI20" i="41"/>
  <c r="AJ20" i="41"/>
  <c r="AH21" i="41"/>
  <c r="AI21" i="41"/>
  <c r="AJ21" i="41"/>
  <c r="AH22" i="41"/>
  <c r="AI22" i="41"/>
  <c r="AJ22" i="41"/>
  <c r="AH23" i="41"/>
  <c r="AI23" i="41"/>
  <c r="AJ23" i="41"/>
  <c r="AH24" i="41"/>
  <c r="AI24" i="41"/>
  <c r="AJ24" i="41"/>
  <c r="AH25" i="41"/>
  <c r="AI25" i="41"/>
  <c r="AJ25" i="41"/>
  <c r="AH26" i="41"/>
  <c r="AI26" i="41"/>
  <c r="AJ26" i="41"/>
  <c r="AH27" i="41"/>
  <c r="AI27" i="41"/>
  <c r="AJ27" i="41"/>
  <c r="AH28" i="41"/>
  <c r="AI28" i="41"/>
  <c r="AJ28" i="41"/>
  <c r="AH29" i="41"/>
  <c r="AI29" i="41"/>
  <c r="AJ29" i="41"/>
  <c r="AH30" i="41"/>
  <c r="AI30" i="41"/>
  <c r="AJ30" i="41"/>
  <c r="AH31" i="41"/>
  <c r="AI31" i="41"/>
  <c r="AJ31" i="41"/>
  <c r="AJ8" i="41"/>
  <c r="AH8" i="41"/>
  <c r="AA9" i="41"/>
  <c r="AB9" i="41"/>
  <c r="AC9" i="41"/>
  <c r="AA10" i="41"/>
  <c r="AB10" i="41"/>
  <c r="AC10" i="41"/>
  <c r="AA11" i="41"/>
  <c r="AB11" i="41"/>
  <c r="AC11" i="41"/>
  <c r="AA12" i="41"/>
  <c r="AB12" i="41"/>
  <c r="AC12" i="41"/>
  <c r="AA13" i="41"/>
  <c r="AB13" i="41"/>
  <c r="AC13" i="41"/>
  <c r="AA14" i="41"/>
  <c r="AB14" i="41"/>
  <c r="AC14" i="41"/>
  <c r="AA15" i="41"/>
  <c r="AB15" i="41"/>
  <c r="AC15" i="41"/>
  <c r="AA16" i="41"/>
  <c r="AB16" i="41"/>
  <c r="AC16" i="41"/>
  <c r="AA17" i="41"/>
  <c r="AB17" i="41"/>
  <c r="AC17" i="41"/>
  <c r="AA18" i="41"/>
  <c r="AB18" i="41"/>
  <c r="AC18" i="41"/>
  <c r="AA19" i="41"/>
  <c r="AB19" i="41"/>
  <c r="AC19" i="41"/>
  <c r="AA20" i="41"/>
  <c r="AB20" i="41"/>
  <c r="AC20" i="41"/>
  <c r="AA21" i="41"/>
  <c r="AB21" i="41"/>
  <c r="AC21" i="41"/>
  <c r="AA22" i="41"/>
  <c r="AB22" i="41"/>
  <c r="AC22" i="41"/>
  <c r="AA23" i="41"/>
  <c r="AB23" i="41"/>
  <c r="AC23" i="41"/>
  <c r="AA24" i="41"/>
  <c r="AB24" i="41"/>
  <c r="AC24" i="41"/>
  <c r="AA25" i="41"/>
  <c r="AB25" i="41"/>
  <c r="AC25" i="41"/>
  <c r="AA26" i="41"/>
  <c r="AB26" i="41"/>
  <c r="AC26" i="41"/>
  <c r="AA27" i="41"/>
  <c r="AB27" i="41"/>
  <c r="AC27" i="41"/>
  <c r="AA28" i="41"/>
  <c r="AB28" i="41"/>
  <c r="AC28" i="41"/>
  <c r="AA29" i="41"/>
  <c r="AB29" i="41"/>
  <c r="AC29" i="41"/>
  <c r="AA30" i="41"/>
  <c r="AB30" i="41"/>
  <c r="AC30" i="41"/>
  <c r="AA31" i="41"/>
  <c r="AB31" i="41"/>
  <c r="AC31" i="41"/>
  <c r="AC8" i="41"/>
  <c r="AA8" i="41"/>
  <c r="BG30" i="66" l="1"/>
  <c r="BM30" i="66" s="1"/>
  <c r="BE29" i="66"/>
  <c r="BK29" i="66" s="1"/>
  <c r="BG26" i="66"/>
  <c r="BM26" i="66" s="1"/>
  <c r="BE25" i="66"/>
  <c r="BK25" i="66" s="1"/>
  <c r="BG22" i="66"/>
  <c r="BM22" i="66" s="1"/>
  <c r="BE21" i="66"/>
  <c r="BK21" i="66" s="1"/>
  <c r="BG18" i="66"/>
  <c r="BM18" i="66" s="1"/>
  <c r="BE17" i="66"/>
  <c r="BK17" i="66" s="1"/>
  <c r="BG14" i="66"/>
  <c r="BM14" i="66" s="1"/>
  <c r="BE13" i="66"/>
  <c r="BK13" i="66" s="1"/>
  <c r="BG10" i="66"/>
  <c r="BM10" i="66" s="1"/>
  <c r="BE9" i="66"/>
  <c r="BK9" i="66" s="1"/>
  <c r="BG29" i="66"/>
  <c r="BM29" i="66" s="1"/>
  <c r="BE28" i="66"/>
  <c r="BK28" i="66" s="1"/>
  <c r="BG25" i="66"/>
  <c r="BM25" i="66" s="1"/>
  <c r="BE24" i="66"/>
  <c r="BK24" i="66" s="1"/>
  <c r="BG21" i="66"/>
  <c r="BM21" i="66" s="1"/>
  <c r="BE20" i="66"/>
  <c r="BK20" i="66" s="1"/>
  <c r="BG17" i="66"/>
  <c r="BM17" i="66" s="1"/>
  <c r="BE16" i="66"/>
  <c r="BK16" i="66" s="1"/>
  <c r="BG13" i="66"/>
  <c r="BM13" i="66" s="1"/>
  <c r="BE12" i="66"/>
  <c r="BK12" i="66" s="1"/>
  <c r="BG9" i="66"/>
  <c r="BM9" i="66" s="1"/>
  <c r="AT31" i="71"/>
  <c r="AZ31" i="71" s="1"/>
  <c r="AR30" i="71"/>
  <c r="AX30" i="71" s="1"/>
  <c r="AT27" i="71"/>
  <c r="AZ27" i="71" s="1"/>
  <c r="AR26" i="71"/>
  <c r="AX26" i="71" s="1"/>
  <c r="AT23" i="71"/>
  <c r="AZ23" i="71" s="1"/>
  <c r="AR22" i="71"/>
  <c r="AX22" i="71" s="1"/>
  <c r="AT19" i="71"/>
  <c r="AZ19" i="71" s="1"/>
  <c r="AR18" i="71"/>
  <c r="AX18" i="71" s="1"/>
  <c r="AT15" i="71"/>
  <c r="AZ15" i="71" s="1"/>
  <c r="AR14" i="71"/>
  <c r="AX14" i="71" s="1"/>
  <c r="AT11" i="71"/>
  <c r="AZ11" i="71" s="1"/>
  <c r="BG8" i="66"/>
  <c r="BM8" i="66" s="1"/>
  <c r="BG31" i="66"/>
  <c r="BM31" i="66" s="1"/>
  <c r="BE30" i="66"/>
  <c r="BK30" i="66" s="1"/>
  <c r="BG27" i="66"/>
  <c r="BM27" i="66" s="1"/>
  <c r="BE26" i="66"/>
  <c r="BK26" i="66" s="1"/>
  <c r="BG23" i="66"/>
  <c r="BM23" i="66" s="1"/>
  <c r="BE22" i="66"/>
  <c r="BK22" i="66" s="1"/>
  <c r="BG19" i="66"/>
  <c r="BM19" i="66" s="1"/>
  <c r="BE18" i="66"/>
  <c r="BK18" i="66" s="1"/>
  <c r="BG15" i="66"/>
  <c r="BM15" i="66" s="1"/>
  <c r="BE14" i="66"/>
  <c r="BK14" i="66" s="1"/>
  <c r="BG11" i="66"/>
  <c r="BM11" i="66" s="1"/>
  <c r="BE10" i="66"/>
  <c r="BK10" i="66" s="1"/>
  <c r="AT29" i="71"/>
  <c r="AZ29" i="71" s="1"/>
  <c r="AR28" i="71"/>
  <c r="AX28" i="71" s="1"/>
  <c r="AT25" i="71"/>
  <c r="AZ25" i="71" s="1"/>
  <c r="AR24" i="71"/>
  <c r="AX24" i="71" s="1"/>
  <c r="AT21" i="71"/>
  <c r="AZ21" i="71" s="1"/>
  <c r="AR20" i="71"/>
  <c r="AX20" i="71" s="1"/>
  <c r="AT17" i="71"/>
  <c r="AZ17" i="71" s="1"/>
  <c r="AR16" i="71"/>
  <c r="AX16" i="71" s="1"/>
  <c r="AT13" i="71"/>
  <c r="AZ13" i="71" s="1"/>
  <c r="AR12" i="71"/>
  <c r="AX12" i="71" s="1"/>
  <c r="BE31" i="66"/>
  <c r="BK31" i="66" s="1"/>
  <c r="BG28" i="66"/>
  <c r="BM28" i="66" s="1"/>
  <c r="BE27" i="66"/>
  <c r="BK27" i="66" s="1"/>
  <c r="BG24" i="66"/>
  <c r="BM24" i="66" s="1"/>
  <c r="BE23" i="66"/>
  <c r="BK23" i="66" s="1"/>
  <c r="BG20" i="66"/>
  <c r="BM20" i="66" s="1"/>
  <c r="BE19" i="66"/>
  <c r="BK19" i="66" s="1"/>
  <c r="BG16" i="66"/>
  <c r="BM16" i="66" s="1"/>
  <c r="BE15" i="66"/>
  <c r="BK15" i="66" s="1"/>
  <c r="BG12" i="66"/>
  <c r="BM12" i="66" s="1"/>
  <c r="BE11" i="66"/>
  <c r="BK11" i="66" s="1"/>
  <c r="AT10" i="71"/>
  <c r="AZ10" i="71" s="1"/>
  <c r="AT30" i="71"/>
  <c r="AZ30" i="71" s="1"/>
  <c r="AR29" i="71"/>
  <c r="AX29" i="71" s="1"/>
  <c r="AT26" i="71"/>
  <c r="AZ26" i="71" s="1"/>
  <c r="AR25" i="71"/>
  <c r="AX25" i="71" s="1"/>
  <c r="AT22" i="71"/>
  <c r="AZ22" i="71" s="1"/>
  <c r="AR21" i="71"/>
  <c r="AX21" i="71" s="1"/>
  <c r="AT18" i="71"/>
  <c r="AZ18" i="71" s="1"/>
  <c r="AR17" i="71"/>
  <c r="AX17" i="71" s="1"/>
  <c r="AT14" i="71"/>
  <c r="AZ14" i="71" s="1"/>
  <c r="AR13" i="71"/>
  <c r="AX13" i="71" s="1"/>
  <c r="BG28" i="41"/>
  <c r="BM28" i="41" s="1"/>
  <c r="BG24" i="41"/>
  <c r="BM24" i="41" s="1"/>
  <c r="BG20" i="41"/>
  <c r="BM20" i="41" s="1"/>
  <c r="BG16" i="41"/>
  <c r="BM16" i="41" s="1"/>
  <c r="BG12" i="41"/>
  <c r="BM12" i="41" s="1"/>
  <c r="AS29" i="71"/>
  <c r="AY29" i="71" s="1"/>
  <c r="AP29" i="71"/>
  <c r="AV29" i="71" s="1"/>
  <c r="AQ29" i="71"/>
  <c r="AW29" i="71" s="1"/>
  <c r="AS25" i="71"/>
  <c r="AY25" i="71" s="1"/>
  <c r="AP25" i="71"/>
  <c r="AV25" i="71" s="1"/>
  <c r="AQ25" i="71"/>
  <c r="AW25" i="71" s="1"/>
  <c r="AS21" i="71"/>
  <c r="AY21" i="71" s="1"/>
  <c r="AP21" i="71"/>
  <c r="AV21" i="71" s="1"/>
  <c r="AQ21" i="71"/>
  <c r="AW21" i="71" s="1"/>
  <c r="AS17" i="71"/>
  <c r="AY17" i="71" s="1"/>
  <c r="AP17" i="71"/>
  <c r="AV17" i="71" s="1"/>
  <c r="AQ17" i="71"/>
  <c r="AW17" i="71" s="1"/>
  <c r="AS13" i="71"/>
  <c r="AY13" i="71" s="1"/>
  <c r="AP13" i="71"/>
  <c r="AV13" i="71" s="1"/>
  <c r="AQ13" i="71"/>
  <c r="AW13" i="71" s="1"/>
  <c r="BD8" i="67"/>
  <c r="BJ8" i="67" s="1"/>
  <c r="BD30" i="67"/>
  <c r="BJ30" i="67" s="1"/>
  <c r="BD26" i="67"/>
  <c r="BJ26" i="67" s="1"/>
  <c r="BD22" i="67"/>
  <c r="BJ22" i="67" s="1"/>
  <c r="BD18" i="67"/>
  <c r="BJ18" i="67" s="1"/>
  <c r="BD14" i="67"/>
  <c r="BJ14" i="67" s="1"/>
  <c r="BD10" i="67"/>
  <c r="BJ10" i="67" s="1"/>
  <c r="BD8" i="66"/>
  <c r="BJ8" i="66" s="1"/>
  <c r="BC28" i="66"/>
  <c r="BI28" i="66" s="1"/>
  <c r="BF28" i="66"/>
  <c r="BL28" i="66" s="1"/>
  <c r="BD28" i="66"/>
  <c r="BJ28" i="66" s="1"/>
  <c r="BC24" i="66"/>
  <c r="BI24" i="66" s="1"/>
  <c r="BD24" i="66"/>
  <c r="BJ24" i="66" s="1"/>
  <c r="BF24" i="66"/>
  <c r="BL24" i="66" s="1"/>
  <c r="BD20" i="66"/>
  <c r="BJ20" i="66" s="1"/>
  <c r="BF20" i="66"/>
  <c r="BL20" i="66" s="1"/>
  <c r="BC20" i="66"/>
  <c r="BI20" i="66" s="1"/>
  <c r="BF16" i="66"/>
  <c r="BL16" i="66" s="1"/>
  <c r="BD16" i="66"/>
  <c r="BJ16" i="66" s="1"/>
  <c r="BC16" i="66"/>
  <c r="BI16" i="66" s="1"/>
  <c r="BF12" i="66"/>
  <c r="BL12" i="66" s="1"/>
  <c r="BD12" i="66"/>
  <c r="BJ12" i="66" s="1"/>
  <c r="BC12" i="66"/>
  <c r="BI12" i="66" s="1"/>
  <c r="AR31" i="71"/>
  <c r="AX31" i="71" s="1"/>
  <c r="AS30" i="71"/>
  <c r="AY30" i="71" s="1"/>
  <c r="AP30" i="71"/>
  <c r="AV30" i="71" s="1"/>
  <c r="AQ30" i="71"/>
  <c r="AW30" i="71" s="1"/>
  <c r="AT28" i="71"/>
  <c r="AZ28" i="71" s="1"/>
  <c r="AR27" i="71"/>
  <c r="AX27" i="71" s="1"/>
  <c r="AS26" i="71"/>
  <c r="AY26" i="71" s="1"/>
  <c r="AP26" i="71"/>
  <c r="AV26" i="71" s="1"/>
  <c r="AQ26" i="71"/>
  <c r="AW26" i="71" s="1"/>
  <c r="AT24" i="71"/>
  <c r="AZ24" i="71" s="1"/>
  <c r="AR23" i="71"/>
  <c r="AX23" i="71" s="1"/>
  <c r="AS22" i="71"/>
  <c r="AY22" i="71" s="1"/>
  <c r="AP22" i="71"/>
  <c r="AV22" i="71" s="1"/>
  <c r="AQ22" i="71"/>
  <c r="AW22" i="71" s="1"/>
  <c r="AT20" i="71"/>
  <c r="AZ20" i="71" s="1"/>
  <c r="AR19" i="71"/>
  <c r="AX19" i="71" s="1"/>
  <c r="AS18" i="71"/>
  <c r="AY18" i="71" s="1"/>
  <c r="AP18" i="71"/>
  <c r="AV18" i="71" s="1"/>
  <c r="AQ18" i="71"/>
  <c r="AW18" i="71" s="1"/>
  <c r="AT16" i="71"/>
  <c r="AZ16" i="71" s="1"/>
  <c r="AR15" i="71"/>
  <c r="AX15" i="71" s="1"/>
  <c r="AS14" i="71"/>
  <c r="AY14" i="71" s="1"/>
  <c r="AP14" i="71"/>
  <c r="AV14" i="71" s="1"/>
  <c r="AQ14" i="71"/>
  <c r="AW14" i="71" s="1"/>
  <c r="AT12" i="71"/>
  <c r="AZ12" i="71" s="1"/>
  <c r="AR11" i="71"/>
  <c r="AX11" i="71" s="1"/>
  <c r="BD31" i="67"/>
  <c r="BJ31" i="67" s="1"/>
  <c r="BD27" i="67"/>
  <c r="BJ27" i="67" s="1"/>
  <c r="BD23" i="67"/>
  <c r="BJ23" i="67" s="1"/>
  <c r="BD19" i="67"/>
  <c r="BJ19" i="67" s="1"/>
  <c r="BD15" i="67"/>
  <c r="BJ15" i="67" s="1"/>
  <c r="BD11" i="67"/>
  <c r="BJ11" i="67" s="1"/>
  <c r="BD29" i="66"/>
  <c r="BJ29" i="66" s="1"/>
  <c r="BC29" i="66"/>
  <c r="BI29" i="66" s="1"/>
  <c r="BF29" i="66"/>
  <c r="BL29" i="66" s="1"/>
  <c r="BD25" i="66"/>
  <c r="BJ25" i="66" s="1"/>
  <c r="BF25" i="66"/>
  <c r="BL25" i="66" s="1"/>
  <c r="BC25" i="66"/>
  <c r="BI25" i="66" s="1"/>
  <c r="BD21" i="66"/>
  <c r="BJ21" i="66" s="1"/>
  <c r="BF21" i="66"/>
  <c r="BL21" i="66" s="1"/>
  <c r="BC21" i="66"/>
  <c r="BI21" i="66" s="1"/>
  <c r="BC17" i="66"/>
  <c r="BI17" i="66" s="1"/>
  <c r="BF17" i="66"/>
  <c r="BL17" i="66" s="1"/>
  <c r="BD17" i="66"/>
  <c r="BJ17" i="66" s="1"/>
  <c r="BC13" i="66"/>
  <c r="BI13" i="66" s="1"/>
  <c r="BF13" i="66"/>
  <c r="BL13" i="66" s="1"/>
  <c r="BD13" i="66"/>
  <c r="BJ13" i="66" s="1"/>
  <c r="BC9" i="66"/>
  <c r="BI9" i="66" s="1"/>
  <c r="BF9" i="66"/>
  <c r="BL9" i="66" s="1"/>
  <c r="BD9" i="66"/>
  <c r="BJ9" i="66" s="1"/>
  <c r="AQ10" i="71"/>
  <c r="AW10" i="71" s="1"/>
  <c r="AQ31" i="71"/>
  <c r="AW31" i="71" s="1"/>
  <c r="AS31" i="71"/>
  <c r="AY31" i="71" s="1"/>
  <c r="AP31" i="71"/>
  <c r="AV31" i="71" s="1"/>
  <c r="AQ27" i="71"/>
  <c r="AW27" i="71" s="1"/>
  <c r="AS27" i="71"/>
  <c r="AY27" i="71" s="1"/>
  <c r="AP27" i="71"/>
  <c r="AV27" i="71" s="1"/>
  <c r="AQ23" i="71"/>
  <c r="AW23" i="71" s="1"/>
  <c r="AS23" i="71"/>
  <c r="AY23" i="71" s="1"/>
  <c r="AP23" i="71"/>
  <c r="AV23" i="71" s="1"/>
  <c r="AQ19" i="71"/>
  <c r="AW19" i="71" s="1"/>
  <c r="AS19" i="71"/>
  <c r="AY19" i="71" s="1"/>
  <c r="AP19" i="71"/>
  <c r="AV19" i="71" s="1"/>
  <c r="AQ15" i="71"/>
  <c r="AW15" i="71" s="1"/>
  <c r="AS15" i="71"/>
  <c r="AY15" i="71" s="1"/>
  <c r="AP15" i="71"/>
  <c r="AV15" i="71" s="1"/>
  <c r="AQ11" i="71"/>
  <c r="AW11" i="71" s="1"/>
  <c r="AS11" i="71"/>
  <c r="AY11" i="71" s="1"/>
  <c r="AP11" i="71"/>
  <c r="AV11" i="71" s="1"/>
  <c r="BD28" i="67"/>
  <c r="BJ28" i="67" s="1"/>
  <c r="BD24" i="67"/>
  <c r="BJ24" i="67" s="1"/>
  <c r="BD20" i="67"/>
  <c r="BJ20" i="67" s="1"/>
  <c r="BD16" i="67"/>
  <c r="BJ16" i="67" s="1"/>
  <c r="BD12" i="67"/>
  <c r="BJ12" i="67" s="1"/>
  <c r="BD30" i="66"/>
  <c r="BJ30" i="66" s="1"/>
  <c r="BC30" i="66"/>
  <c r="BI30" i="66" s="1"/>
  <c r="BF30" i="66"/>
  <c r="BL30" i="66" s="1"/>
  <c r="BD26" i="66"/>
  <c r="BJ26" i="66" s="1"/>
  <c r="BC26" i="66"/>
  <c r="BI26" i="66" s="1"/>
  <c r="BF26" i="66"/>
  <c r="BL26" i="66" s="1"/>
  <c r="BF22" i="66"/>
  <c r="BL22" i="66" s="1"/>
  <c r="BC22" i="66"/>
  <c r="BI22" i="66" s="1"/>
  <c r="BD22" i="66"/>
  <c r="BJ22" i="66" s="1"/>
  <c r="BD18" i="66"/>
  <c r="BJ18" i="66" s="1"/>
  <c r="BC18" i="66"/>
  <c r="BI18" i="66" s="1"/>
  <c r="BF18" i="66"/>
  <c r="BL18" i="66" s="1"/>
  <c r="BD14" i="66"/>
  <c r="BJ14" i="66" s="1"/>
  <c r="BC14" i="66"/>
  <c r="BI14" i="66" s="1"/>
  <c r="BF14" i="66"/>
  <c r="BL14" i="66" s="1"/>
  <c r="BD10" i="66"/>
  <c r="BJ10" i="66" s="1"/>
  <c r="BC10" i="66"/>
  <c r="BI10" i="66" s="1"/>
  <c r="BF10" i="66"/>
  <c r="BL10" i="66" s="1"/>
  <c r="AP28" i="71"/>
  <c r="AV28" i="71" s="1"/>
  <c r="AQ28" i="71"/>
  <c r="AW28" i="71" s="1"/>
  <c r="AS28" i="71"/>
  <c r="AY28" i="71" s="1"/>
  <c r="AP24" i="71"/>
  <c r="AV24" i="71" s="1"/>
  <c r="AQ24" i="71"/>
  <c r="AW24" i="71" s="1"/>
  <c r="AS24" i="71"/>
  <c r="AY24" i="71" s="1"/>
  <c r="AP20" i="71"/>
  <c r="AV20" i="71" s="1"/>
  <c r="AQ20" i="71"/>
  <c r="AW20" i="71" s="1"/>
  <c r="AS20" i="71"/>
  <c r="AY20" i="71" s="1"/>
  <c r="AP16" i="71"/>
  <c r="AV16" i="71" s="1"/>
  <c r="AQ16" i="71"/>
  <c r="AW16" i="71" s="1"/>
  <c r="AS16" i="71"/>
  <c r="AY16" i="71" s="1"/>
  <c r="AP12" i="71"/>
  <c r="AV12" i="71" s="1"/>
  <c r="AQ12" i="71"/>
  <c r="AW12" i="71" s="1"/>
  <c r="AS12" i="71"/>
  <c r="AY12" i="71" s="1"/>
  <c r="BD29" i="67"/>
  <c r="BJ29" i="67" s="1"/>
  <c r="BD25" i="67"/>
  <c r="BJ25" i="67" s="1"/>
  <c r="BD21" i="67"/>
  <c r="BJ21" i="67" s="1"/>
  <c r="BD17" i="67"/>
  <c r="BJ17" i="67" s="1"/>
  <c r="BD13" i="67"/>
  <c r="BJ13" i="67" s="1"/>
  <c r="BD9" i="67"/>
  <c r="BJ9" i="67" s="1"/>
  <c r="BF31" i="66"/>
  <c r="BL31" i="66" s="1"/>
  <c r="BD31" i="66"/>
  <c r="BJ31" i="66" s="1"/>
  <c r="BC31" i="66"/>
  <c r="BI31" i="66" s="1"/>
  <c r="BF27" i="66"/>
  <c r="BL27" i="66" s="1"/>
  <c r="BD27" i="66"/>
  <c r="BJ27" i="66" s="1"/>
  <c r="BC27" i="66"/>
  <c r="BI27" i="66" s="1"/>
  <c r="BF23" i="66"/>
  <c r="BL23" i="66" s="1"/>
  <c r="BC23" i="66"/>
  <c r="BI23" i="66" s="1"/>
  <c r="BD23" i="66"/>
  <c r="BJ23" i="66" s="1"/>
  <c r="BD19" i="66"/>
  <c r="BJ19" i="66" s="1"/>
  <c r="BC19" i="66"/>
  <c r="BI19" i="66" s="1"/>
  <c r="BF19" i="66"/>
  <c r="BL19" i="66" s="1"/>
  <c r="BD15" i="66"/>
  <c r="BJ15" i="66" s="1"/>
  <c r="BC15" i="66"/>
  <c r="BI15" i="66" s="1"/>
  <c r="BF15" i="66"/>
  <c r="BL15" i="66" s="1"/>
  <c r="BD11" i="66"/>
  <c r="BJ11" i="66" s="1"/>
  <c r="BC11" i="66"/>
  <c r="BI11" i="66" s="1"/>
  <c r="BF11" i="66"/>
  <c r="BL11" i="66" s="1"/>
  <c r="BG29" i="41"/>
  <c r="BM29" i="41" s="1"/>
  <c r="BG25" i="41"/>
  <c r="BM25" i="41" s="1"/>
  <c r="BG21" i="41"/>
  <c r="BM21" i="41" s="1"/>
  <c r="BG17" i="41"/>
  <c r="BM17" i="41" s="1"/>
  <c r="BG9" i="41"/>
  <c r="BM9" i="41" s="1"/>
  <c r="BG13" i="41"/>
  <c r="BM13" i="41" s="1"/>
  <c r="BG30" i="41"/>
  <c r="BM30" i="41" s="1"/>
  <c r="BG26" i="41"/>
  <c r="BM26" i="41" s="1"/>
  <c r="BG22" i="41"/>
  <c r="BM22" i="41" s="1"/>
  <c r="BG18" i="41"/>
  <c r="BM18" i="41" s="1"/>
  <c r="BG14" i="41"/>
  <c r="BM14" i="41" s="1"/>
  <c r="BG10" i="41"/>
  <c r="BM10" i="41" s="1"/>
  <c r="BG31" i="41"/>
  <c r="BM31" i="41" s="1"/>
  <c r="BG27" i="41"/>
  <c r="BM27" i="41" s="1"/>
  <c r="BG23" i="41"/>
  <c r="BM23" i="41" s="1"/>
  <c r="BG19" i="41"/>
  <c r="BM19" i="41" s="1"/>
  <c r="BG15" i="41"/>
  <c r="BM15" i="41" s="1"/>
  <c r="BG11" i="41"/>
  <c r="BM11" i="41" s="1"/>
  <c r="BG18" i="67"/>
  <c r="BM18" i="67" s="1"/>
  <c r="BE18" i="67"/>
  <c r="BK18" i="67" s="1"/>
  <c r="BH17" i="67"/>
  <c r="BN17" i="67" s="1"/>
  <c r="BH30" i="67"/>
  <c r="BN30" i="67" s="1"/>
  <c r="BG28" i="67"/>
  <c r="BM28" i="67" s="1"/>
  <c r="BE28" i="67"/>
  <c r="BK28" i="67" s="1"/>
  <c r="BF25" i="67"/>
  <c r="BL25" i="67" s="1"/>
  <c r="BH22" i="67"/>
  <c r="BN22" i="67" s="1"/>
  <c r="BG20" i="67"/>
  <c r="BM20" i="67" s="1"/>
  <c r="BE20" i="67"/>
  <c r="BK20" i="67" s="1"/>
  <c r="BF17" i="67"/>
  <c r="BL17" i="67" s="1"/>
  <c r="BH14" i="67"/>
  <c r="BN14" i="67" s="1"/>
  <c r="BG12" i="67"/>
  <c r="BM12" i="67" s="1"/>
  <c r="BE12" i="67"/>
  <c r="BK12" i="67" s="1"/>
  <c r="BG8" i="67"/>
  <c r="BM8" i="67" s="1"/>
  <c r="BE23" i="67"/>
  <c r="BK23" i="67" s="1"/>
  <c r="BG23" i="67"/>
  <c r="BM23" i="67" s="1"/>
  <c r="BF20" i="67"/>
  <c r="BL20" i="67" s="1"/>
  <c r="BF30" i="67"/>
  <c r="BL30" i="67" s="1"/>
  <c r="BH27" i="67"/>
  <c r="BN27" i="67" s="1"/>
  <c r="BE25" i="67"/>
  <c r="BK25" i="67" s="1"/>
  <c r="BG25" i="67"/>
  <c r="BM25" i="67" s="1"/>
  <c r="BF22" i="67"/>
  <c r="BL22" i="67" s="1"/>
  <c r="BH19" i="67"/>
  <c r="BN19" i="67" s="1"/>
  <c r="BE17" i="67"/>
  <c r="BK17" i="67" s="1"/>
  <c r="BG17" i="67"/>
  <c r="BM17" i="67" s="1"/>
  <c r="BF14" i="67"/>
  <c r="BL14" i="67" s="1"/>
  <c r="BH11" i="67"/>
  <c r="BN11" i="67" s="1"/>
  <c r="BH28" i="67"/>
  <c r="BN28" i="67" s="1"/>
  <c r="BF23" i="67"/>
  <c r="BL23" i="67" s="1"/>
  <c r="BF15" i="67"/>
  <c r="BL15" i="67" s="1"/>
  <c r="BH8" i="67"/>
  <c r="BN8" i="67" s="1"/>
  <c r="BF28" i="67"/>
  <c r="BL28" i="67" s="1"/>
  <c r="BG30" i="67"/>
  <c r="BM30" i="67" s="1"/>
  <c r="BE30" i="67"/>
  <c r="BK30" i="67" s="1"/>
  <c r="BF27" i="67"/>
  <c r="BL27" i="67" s="1"/>
  <c r="BH24" i="67"/>
  <c r="BN24" i="67" s="1"/>
  <c r="BG22" i="67"/>
  <c r="BM22" i="67" s="1"/>
  <c r="BE22" i="67"/>
  <c r="BK22" i="67" s="1"/>
  <c r="BF19" i="67"/>
  <c r="BL19" i="67" s="1"/>
  <c r="BH16" i="67"/>
  <c r="BN16" i="67" s="1"/>
  <c r="BE14" i="67"/>
  <c r="BK14" i="67" s="1"/>
  <c r="BG14" i="67"/>
  <c r="BM14" i="67" s="1"/>
  <c r="BF11" i="67"/>
  <c r="BL11" i="67" s="1"/>
  <c r="BH20" i="67"/>
  <c r="BN20" i="67" s="1"/>
  <c r="BH25" i="67"/>
  <c r="BN25" i="67" s="1"/>
  <c r="BH29" i="67"/>
  <c r="BN29" i="67" s="1"/>
  <c r="BE27" i="67"/>
  <c r="BK27" i="67" s="1"/>
  <c r="BG27" i="67"/>
  <c r="BM27" i="67" s="1"/>
  <c r="BF24" i="67"/>
  <c r="BL24" i="67" s="1"/>
  <c r="BH21" i="67"/>
  <c r="BN21" i="67" s="1"/>
  <c r="BE19" i="67"/>
  <c r="BK19" i="67" s="1"/>
  <c r="BG19" i="67"/>
  <c r="BM19" i="67" s="1"/>
  <c r="BF16" i="67"/>
  <c r="BL16" i="67" s="1"/>
  <c r="BH13" i="67"/>
  <c r="BN13" i="67" s="1"/>
  <c r="BE11" i="67"/>
  <c r="BK11" i="67" s="1"/>
  <c r="BG11" i="67"/>
  <c r="BM11" i="67" s="1"/>
  <c r="BF31" i="67"/>
  <c r="BL31" i="67" s="1"/>
  <c r="BG10" i="67"/>
  <c r="BM10" i="67" s="1"/>
  <c r="BE10" i="67"/>
  <c r="BK10" i="67" s="1"/>
  <c r="BE15" i="67"/>
  <c r="BK15" i="67" s="1"/>
  <c r="BG15" i="67"/>
  <c r="BM15" i="67" s="1"/>
  <c r="BF29" i="67"/>
  <c r="BL29" i="67" s="1"/>
  <c r="BH26" i="67"/>
  <c r="BN26" i="67" s="1"/>
  <c r="BG24" i="67"/>
  <c r="BM24" i="67" s="1"/>
  <c r="BE24" i="67"/>
  <c r="BK24" i="67" s="1"/>
  <c r="BF21" i="67"/>
  <c r="BL21" i="67" s="1"/>
  <c r="BH18" i="67"/>
  <c r="BN18" i="67" s="1"/>
  <c r="BG16" i="67"/>
  <c r="BM16" i="67" s="1"/>
  <c r="BE16" i="67"/>
  <c r="BK16" i="67" s="1"/>
  <c r="BF13" i="67"/>
  <c r="BL13" i="67" s="1"/>
  <c r="BH10" i="67"/>
  <c r="BN10" i="67" s="1"/>
  <c r="BG26" i="67"/>
  <c r="BM26" i="67" s="1"/>
  <c r="BE26" i="67"/>
  <c r="BK26" i="67" s="1"/>
  <c r="BH12" i="67"/>
  <c r="BN12" i="67" s="1"/>
  <c r="BE31" i="67"/>
  <c r="BK31" i="67" s="1"/>
  <c r="BG31" i="67"/>
  <c r="BM31" i="67" s="1"/>
  <c r="BF12" i="67"/>
  <c r="BL12" i="67" s="1"/>
  <c r="BH31" i="67"/>
  <c r="BN31" i="67" s="1"/>
  <c r="BE29" i="67"/>
  <c r="BK29" i="67" s="1"/>
  <c r="BG29" i="67"/>
  <c r="BM29" i="67" s="1"/>
  <c r="BF26" i="67"/>
  <c r="BL26" i="67" s="1"/>
  <c r="BH23" i="67"/>
  <c r="BN23" i="67" s="1"/>
  <c r="BE21" i="67"/>
  <c r="BK21" i="67" s="1"/>
  <c r="BG21" i="67"/>
  <c r="BM21" i="67" s="1"/>
  <c r="BF18" i="67"/>
  <c r="BL18" i="67" s="1"/>
  <c r="BH15" i="67"/>
  <c r="BN15" i="67" s="1"/>
  <c r="BE13" i="67"/>
  <c r="BK13" i="67" s="1"/>
  <c r="BG13" i="67"/>
  <c r="BM13" i="67" s="1"/>
  <c r="BF10" i="67"/>
  <c r="BL10" i="67" s="1"/>
  <c r="BH9" i="67"/>
  <c r="BN9" i="67" s="1"/>
  <c r="BF9" i="67"/>
  <c r="BL9" i="67" s="1"/>
  <c r="BG9" i="67"/>
  <c r="BM9" i="67" s="1"/>
  <c r="BE9" i="67"/>
  <c r="BK9" i="67" s="1"/>
  <c r="BF8" i="67"/>
  <c r="BL8" i="67" s="1"/>
  <c r="BE8" i="67"/>
  <c r="BK8" i="67" s="1"/>
  <c r="F7" i="46"/>
  <c r="F32" i="46"/>
  <c r="F33" i="46"/>
  <c r="F34" i="46"/>
  <c r="F35" i="46"/>
  <c r="F36" i="46"/>
  <c r="F37" i="46"/>
  <c r="F38" i="46"/>
  <c r="F39" i="46"/>
  <c r="F40" i="46"/>
  <c r="F41" i="46"/>
  <c r="F42" i="46"/>
  <c r="F43" i="46"/>
  <c r="F44" i="46"/>
  <c r="F45" i="46"/>
  <c r="F46" i="46"/>
  <c r="F47" i="46"/>
  <c r="F48" i="46"/>
  <c r="F49" i="46"/>
  <c r="F50" i="46"/>
  <c r="F51" i="46"/>
  <c r="F52" i="46"/>
  <c r="F53" i="46"/>
  <c r="F31" i="46"/>
  <c r="D31" i="46"/>
  <c r="D7" i="46"/>
  <c r="H7" i="46" s="1"/>
  <c r="AZ8" i="66"/>
  <c r="AS8" i="66"/>
  <c r="AL8" i="66"/>
  <c r="AE8" i="66"/>
  <c r="X8" i="66"/>
  <c r="AF10" i="71"/>
  <c r="Y10" i="71"/>
  <c r="BD8" i="41"/>
  <c r="AW8" i="41"/>
  <c r="AP8" i="41"/>
  <c r="AI8" i="41"/>
  <c r="AB8" i="41"/>
  <c r="BM32" i="67" l="1"/>
  <c r="BJ32" i="66"/>
  <c r="BM32" i="66"/>
  <c r="BL32" i="67"/>
  <c r="BN32" i="67"/>
  <c r="BJ32" i="67"/>
  <c r="BK32" i="67"/>
  <c r="AR10" i="71"/>
  <c r="AX10" i="71" s="1"/>
  <c r="BC8" i="66"/>
  <c r="BI8" i="66" s="1"/>
  <c r="BI32" i="66" s="1"/>
  <c r="AS10" i="71"/>
  <c r="AY10" i="71" s="1"/>
  <c r="BE8" i="66"/>
  <c r="BK8" i="66" s="1"/>
  <c r="BK32" i="66" s="1"/>
  <c r="AP10" i="71"/>
  <c r="BF8" i="66"/>
  <c r="BL8" i="66" s="1"/>
  <c r="BL32" i="66" s="1"/>
  <c r="BJ8" i="41"/>
  <c r="BP8" i="41" s="1"/>
  <c r="BG8" i="41"/>
  <c r="BM8" i="41" s="1"/>
  <c r="I13" i="65" l="1"/>
  <c r="AV10" i="71"/>
  <c r="AV32" i="71" s="1"/>
  <c r="M13" i="65"/>
  <c r="R13" i="65" s="1"/>
  <c r="J14" i="65"/>
  <c r="J13" i="65"/>
  <c r="K13" i="65"/>
  <c r="P13" i="65" s="1"/>
  <c r="L13" i="65"/>
  <c r="BM32" i="41"/>
  <c r="J11" i="65" s="1"/>
  <c r="J15" i="65" l="1"/>
  <c r="O15" i="65" s="1"/>
  <c r="G7" i="46"/>
  <c r="J16" i="65" l="1"/>
  <c r="J33" i="65" s="1"/>
  <c r="E10" i="71"/>
  <c r="G10" i="71"/>
  <c r="I10" i="71"/>
  <c r="Q10" i="71"/>
  <c r="S10" i="71"/>
  <c r="BA10" i="71"/>
  <c r="L10" i="71" s="1"/>
  <c r="E11" i="71"/>
  <c r="G11" i="71"/>
  <c r="I11" i="71"/>
  <c r="Q11" i="71"/>
  <c r="S11" i="71"/>
  <c r="BA11" i="71"/>
  <c r="L11" i="71" s="1"/>
  <c r="E12" i="71"/>
  <c r="G12" i="71"/>
  <c r="I12" i="71"/>
  <c r="Q12" i="71"/>
  <c r="S12" i="71"/>
  <c r="BA12" i="71"/>
  <c r="L12" i="71" s="1"/>
  <c r="E13" i="71"/>
  <c r="G13" i="71"/>
  <c r="I13" i="71"/>
  <c r="Q13" i="71"/>
  <c r="S13" i="71"/>
  <c r="BA13" i="71"/>
  <c r="L13" i="71" s="1"/>
  <c r="E14" i="71"/>
  <c r="G14" i="71"/>
  <c r="I14" i="71"/>
  <c r="Q14" i="71"/>
  <c r="S14" i="71"/>
  <c r="BA14" i="71"/>
  <c r="L14" i="71" s="1"/>
  <c r="E15" i="71"/>
  <c r="G15" i="71"/>
  <c r="I15" i="71"/>
  <c r="Q15" i="71"/>
  <c r="S15" i="71"/>
  <c r="BA15" i="71"/>
  <c r="L15" i="71" s="1"/>
  <c r="E16" i="71"/>
  <c r="G16" i="71"/>
  <c r="I16" i="71"/>
  <c r="Q16" i="71"/>
  <c r="S16" i="71"/>
  <c r="BA16" i="71"/>
  <c r="L16" i="71" s="1"/>
  <c r="E17" i="71"/>
  <c r="G17" i="71"/>
  <c r="I17" i="71"/>
  <c r="Q17" i="71"/>
  <c r="S17" i="71"/>
  <c r="BA17" i="71"/>
  <c r="L17" i="71" s="1"/>
  <c r="E18" i="71"/>
  <c r="G18" i="71"/>
  <c r="I18" i="71"/>
  <c r="Q18" i="71"/>
  <c r="S18" i="71"/>
  <c r="BA18" i="71"/>
  <c r="L18" i="71" s="1"/>
  <c r="E19" i="71"/>
  <c r="G19" i="71"/>
  <c r="I19" i="71"/>
  <c r="Q19" i="71"/>
  <c r="S19" i="71"/>
  <c r="BA19" i="71"/>
  <c r="L19" i="71" s="1"/>
  <c r="E20" i="71"/>
  <c r="G20" i="71"/>
  <c r="I20" i="71"/>
  <c r="Q20" i="71"/>
  <c r="S20" i="71"/>
  <c r="BA20" i="71"/>
  <c r="L20" i="71" s="1"/>
  <c r="E21" i="71"/>
  <c r="G21" i="71"/>
  <c r="I21" i="71"/>
  <c r="Q21" i="71"/>
  <c r="S21" i="71"/>
  <c r="BA21" i="71"/>
  <c r="L21" i="71" s="1"/>
  <c r="E22" i="71"/>
  <c r="G22" i="71"/>
  <c r="I22" i="71"/>
  <c r="Q22" i="71"/>
  <c r="S22" i="71"/>
  <c r="BA22" i="71"/>
  <c r="L22" i="71" s="1"/>
  <c r="E23" i="71"/>
  <c r="G23" i="71"/>
  <c r="I23" i="71"/>
  <c r="Q23" i="71"/>
  <c r="S23" i="71"/>
  <c r="BA23" i="71"/>
  <c r="L23" i="71" s="1"/>
  <c r="E24" i="71"/>
  <c r="G24" i="71"/>
  <c r="I24" i="71"/>
  <c r="Q24" i="71"/>
  <c r="S24" i="71"/>
  <c r="BA24" i="71"/>
  <c r="L24" i="71" s="1"/>
  <c r="E25" i="71"/>
  <c r="G25" i="71"/>
  <c r="I25" i="71"/>
  <c r="Q25" i="71"/>
  <c r="S25" i="71"/>
  <c r="BA25" i="71"/>
  <c r="L25" i="71" s="1"/>
  <c r="E26" i="71"/>
  <c r="G26" i="71"/>
  <c r="I26" i="71"/>
  <c r="Q26" i="71"/>
  <c r="S26" i="71"/>
  <c r="BA26" i="71"/>
  <c r="L26" i="71" s="1"/>
  <c r="E27" i="71"/>
  <c r="G27" i="71"/>
  <c r="I27" i="71"/>
  <c r="Q27" i="71"/>
  <c r="S27" i="71"/>
  <c r="BA27" i="71"/>
  <c r="L27" i="71" s="1"/>
  <c r="E28" i="71"/>
  <c r="G28" i="71"/>
  <c r="I28" i="71"/>
  <c r="Q28" i="71"/>
  <c r="S28" i="71"/>
  <c r="BA28" i="71"/>
  <c r="L28" i="71" s="1"/>
  <c r="E29" i="71"/>
  <c r="G29" i="71"/>
  <c r="I29" i="71"/>
  <c r="Q29" i="71"/>
  <c r="S29" i="71"/>
  <c r="E30" i="71"/>
  <c r="BB30" i="71" s="1"/>
  <c r="N30" i="71" s="1"/>
  <c r="O30" i="71" s="1"/>
  <c r="Q30" i="71"/>
  <c r="E31" i="71"/>
  <c r="G31" i="71"/>
  <c r="I31" i="71"/>
  <c r="Q31" i="71"/>
  <c r="L31" i="71"/>
  <c r="B32" i="71"/>
  <c r="AV33" i="71" s="1"/>
  <c r="D38" i="71"/>
  <c r="AP33" i="71" l="1"/>
  <c r="C15" i="65"/>
  <c r="BB29" i="71"/>
  <c r="N29" i="71" s="1"/>
  <c r="O29" i="71" s="1"/>
  <c r="BB31" i="71"/>
  <c r="N31" i="71" s="1"/>
  <c r="O31" i="71" s="1"/>
  <c r="BJ12" i="41"/>
  <c r="BP12" i="41" s="1"/>
  <c r="BJ27" i="41"/>
  <c r="BP27" i="41" s="1"/>
  <c r="BJ23" i="41"/>
  <c r="BP23" i="41" s="1"/>
  <c r="BJ19" i="41"/>
  <c r="BP19" i="41" s="1"/>
  <c r="BJ15" i="41"/>
  <c r="BP15" i="41" s="1"/>
  <c r="BJ10" i="41"/>
  <c r="BP10" i="41" s="1"/>
  <c r="BJ29" i="41"/>
  <c r="BP29" i="41" s="1"/>
  <c r="BJ25" i="41"/>
  <c r="BP25" i="41" s="1"/>
  <c r="BJ21" i="41"/>
  <c r="BP21" i="41" s="1"/>
  <c r="BJ17" i="41"/>
  <c r="BP17" i="41" s="1"/>
  <c r="BJ13" i="41"/>
  <c r="BP13" i="41" s="1"/>
  <c r="BJ11" i="41"/>
  <c r="BP11" i="41" s="1"/>
  <c r="BJ9" i="41"/>
  <c r="BP9" i="41" s="1"/>
  <c r="BJ30" i="41"/>
  <c r="BP30" i="41" s="1"/>
  <c r="BJ28" i="41"/>
  <c r="BP28" i="41" s="1"/>
  <c r="BJ26" i="41"/>
  <c r="BP26" i="41" s="1"/>
  <c r="BJ24" i="41"/>
  <c r="BP24" i="41" s="1"/>
  <c r="BJ22" i="41"/>
  <c r="BP22" i="41" s="1"/>
  <c r="BJ20" i="41"/>
  <c r="BP20" i="41" s="1"/>
  <c r="BJ18" i="41"/>
  <c r="BP18" i="41" s="1"/>
  <c r="BJ16" i="41"/>
  <c r="BP16" i="41" s="1"/>
  <c r="BJ14" i="41"/>
  <c r="BP14" i="41" s="1"/>
  <c r="BJ31" i="41"/>
  <c r="BP31" i="41" s="1"/>
  <c r="BK10" i="41"/>
  <c r="BQ10" i="41" s="1"/>
  <c r="BB27" i="71"/>
  <c r="N27" i="71" s="1"/>
  <c r="O27" i="71" s="1"/>
  <c r="BB24" i="71"/>
  <c r="N24" i="71" s="1"/>
  <c r="O24" i="71" s="1"/>
  <c r="BB20" i="71"/>
  <c r="N20" i="71" s="1"/>
  <c r="O20" i="71" s="1"/>
  <c r="BB16" i="71"/>
  <c r="N16" i="71" s="1"/>
  <c r="O16" i="71" s="1"/>
  <c r="BB12" i="71"/>
  <c r="N12" i="71" s="1"/>
  <c r="O12" i="71" s="1"/>
  <c r="BB10" i="71"/>
  <c r="N10" i="71" s="1"/>
  <c r="O10" i="71" s="1"/>
  <c r="BB26" i="71"/>
  <c r="N26" i="71" s="1"/>
  <c r="O26" i="71" s="1"/>
  <c r="BB22" i="71"/>
  <c r="N22" i="71" s="1"/>
  <c r="O22" i="71" s="1"/>
  <c r="BB18" i="71"/>
  <c r="N18" i="71" s="1"/>
  <c r="O18" i="71" s="1"/>
  <c r="BB14" i="71"/>
  <c r="N14" i="71" s="1"/>
  <c r="O14" i="71" s="1"/>
  <c r="Q32" i="71"/>
  <c r="BB28" i="71"/>
  <c r="N28" i="71" s="1"/>
  <c r="O28" i="71" s="1"/>
  <c r="BB25" i="71"/>
  <c r="N25" i="71" s="1"/>
  <c r="O25" i="71" s="1"/>
  <c r="BB23" i="71"/>
  <c r="N23" i="71" s="1"/>
  <c r="O23" i="71" s="1"/>
  <c r="BB21" i="71"/>
  <c r="N21" i="71" s="1"/>
  <c r="O21" i="71" s="1"/>
  <c r="BB19" i="71"/>
  <c r="N19" i="71" s="1"/>
  <c r="O19" i="71" s="1"/>
  <c r="BB17" i="71"/>
  <c r="N17" i="71" s="1"/>
  <c r="O17" i="71" s="1"/>
  <c r="BB15" i="71"/>
  <c r="N15" i="71" s="1"/>
  <c r="O15" i="71" s="1"/>
  <c r="BB13" i="71"/>
  <c r="N13" i="71" s="1"/>
  <c r="O13" i="71" s="1"/>
  <c r="BB11" i="71"/>
  <c r="N11" i="71" s="1"/>
  <c r="O11" i="71" s="1"/>
  <c r="BP32" i="41" l="1"/>
  <c r="O32" i="71"/>
  <c r="D15" i="65" s="1"/>
  <c r="F15" i="65" s="1"/>
  <c r="AZ32" i="71"/>
  <c r="AZ33" i="71" s="1"/>
  <c r="AX32" i="71"/>
  <c r="AX33" i="71" s="1"/>
  <c r="O8" i="66"/>
  <c r="K11" i="65" l="1"/>
  <c r="P11" i="65" s="1"/>
  <c r="AR33" i="71"/>
  <c r="L15" i="65"/>
  <c r="Q15" i="65" s="1"/>
  <c r="AT33" i="71"/>
  <c r="M15" i="65"/>
  <c r="R15" i="65" s="1"/>
  <c r="AW32" i="71"/>
  <c r="AW33" i="71" s="1"/>
  <c r="AY32" i="71"/>
  <c r="K15" i="65" l="1"/>
  <c r="P15" i="65" s="1"/>
  <c r="AY33" i="71"/>
  <c r="AS33" i="71" s="1"/>
  <c r="AQ33" i="71"/>
  <c r="I15" i="65"/>
  <c r="N15" i="65" s="1"/>
  <c r="T8" i="67" l="1"/>
  <c r="M31" i="67"/>
  <c r="K31" i="67"/>
  <c r="D31" i="67"/>
  <c r="I31" i="67" s="1"/>
  <c r="B32" i="67"/>
  <c r="C14" i="65" l="1"/>
  <c r="O14" i="65" s="1"/>
  <c r="BM33" i="67"/>
  <c r="BG33" i="67" s="1"/>
  <c r="BL33" i="67"/>
  <c r="BF33" i="67" s="1"/>
  <c r="BN33" i="67"/>
  <c r="BH33" i="67" s="1"/>
  <c r="BJ33" i="67"/>
  <c r="BD33" i="67" s="1"/>
  <c r="BK33" i="67"/>
  <c r="BE33" i="67" s="1"/>
  <c r="O31" i="67"/>
  <c r="P31" i="67" s="1"/>
  <c r="Q31" i="67"/>
  <c r="R31" i="67" s="1"/>
  <c r="T12" i="67"/>
  <c r="T13" i="67"/>
  <c r="T14" i="67"/>
  <c r="T15" i="67"/>
  <c r="T16" i="67"/>
  <c r="T17" i="67"/>
  <c r="T18" i="67"/>
  <c r="T19" i="67"/>
  <c r="T20" i="67"/>
  <c r="T21" i="67"/>
  <c r="T22" i="67"/>
  <c r="T23" i="67"/>
  <c r="T24" i="67"/>
  <c r="T25" i="67"/>
  <c r="T26" i="67"/>
  <c r="T27" i="67"/>
  <c r="T28" i="67"/>
  <c r="T29" i="67"/>
  <c r="T30" i="67"/>
  <c r="T31" i="67"/>
  <c r="T11" i="67"/>
  <c r="T10" i="67"/>
  <c r="T9" i="67"/>
  <c r="M29" i="67"/>
  <c r="K29" i="67"/>
  <c r="D29" i="67"/>
  <c r="I29" i="67" s="1"/>
  <c r="M28" i="67"/>
  <c r="K28" i="67"/>
  <c r="D28" i="67"/>
  <c r="I28" i="67" s="1"/>
  <c r="M27" i="67"/>
  <c r="K27" i="67"/>
  <c r="D27" i="67"/>
  <c r="Q27" i="67" s="1"/>
  <c r="R27" i="67" s="1"/>
  <c r="M22" i="67"/>
  <c r="K22" i="67"/>
  <c r="D22" i="67"/>
  <c r="I22" i="67" s="1"/>
  <c r="M21" i="67"/>
  <c r="K21" i="67"/>
  <c r="D21" i="67"/>
  <c r="I21" i="67" s="1"/>
  <c r="M20" i="67"/>
  <c r="K20" i="67"/>
  <c r="D20" i="67"/>
  <c r="I20" i="67" s="1"/>
  <c r="M19" i="67"/>
  <c r="K19" i="67"/>
  <c r="D19" i="67"/>
  <c r="I19" i="67" s="1"/>
  <c r="M18" i="67"/>
  <c r="K18" i="67"/>
  <c r="D18" i="67"/>
  <c r="I18" i="67" s="1"/>
  <c r="M17" i="67"/>
  <c r="K17" i="67"/>
  <c r="D17" i="67"/>
  <c r="I17" i="67" s="1"/>
  <c r="M14" i="67"/>
  <c r="K14" i="67"/>
  <c r="D14" i="67"/>
  <c r="I14" i="67" s="1"/>
  <c r="M13" i="67"/>
  <c r="K13" i="67"/>
  <c r="D13" i="67"/>
  <c r="I13" i="67" s="1"/>
  <c r="M12" i="67"/>
  <c r="K12" i="67"/>
  <c r="D12" i="67"/>
  <c r="I12" i="67" s="1"/>
  <c r="M11" i="67"/>
  <c r="K11" i="67"/>
  <c r="D11" i="67"/>
  <c r="I11" i="67" s="1"/>
  <c r="M30" i="67"/>
  <c r="K30" i="67"/>
  <c r="D30" i="67"/>
  <c r="I30" i="67" s="1"/>
  <c r="M26" i="67"/>
  <c r="K26" i="67"/>
  <c r="D26" i="67"/>
  <c r="I26" i="67" s="1"/>
  <c r="M25" i="67"/>
  <c r="K25" i="67"/>
  <c r="D25" i="67"/>
  <c r="I25" i="67" s="1"/>
  <c r="M24" i="67"/>
  <c r="K24" i="67"/>
  <c r="D24" i="67"/>
  <c r="I24" i="67" s="1"/>
  <c r="M23" i="67"/>
  <c r="K23" i="67"/>
  <c r="D23" i="67"/>
  <c r="I23" i="67" s="1"/>
  <c r="M16" i="67"/>
  <c r="K16" i="67"/>
  <c r="D16" i="67"/>
  <c r="I16" i="67" s="1"/>
  <c r="M15" i="67"/>
  <c r="K15" i="67"/>
  <c r="D15" i="67"/>
  <c r="I15" i="67" s="1"/>
  <c r="M10" i="67"/>
  <c r="K10" i="67"/>
  <c r="D10" i="67"/>
  <c r="M9" i="67"/>
  <c r="K9" i="67"/>
  <c r="D9" i="67"/>
  <c r="I9" i="67" s="1"/>
  <c r="M8" i="67"/>
  <c r="K8" i="67"/>
  <c r="D8" i="67"/>
  <c r="I8" i="67" s="1"/>
  <c r="R8" i="66"/>
  <c r="R27" i="66"/>
  <c r="R28" i="66"/>
  <c r="R29" i="66"/>
  <c r="R30" i="66"/>
  <c r="R31" i="66"/>
  <c r="R20" i="66"/>
  <c r="R21" i="66"/>
  <c r="R22" i="66"/>
  <c r="R23" i="66"/>
  <c r="R24" i="66"/>
  <c r="R25" i="66"/>
  <c r="R26" i="66"/>
  <c r="R12" i="66"/>
  <c r="R13" i="66"/>
  <c r="R14" i="66"/>
  <c r="R15" i="66"/>
  <c r="R16" i="66"/>
  <c r="R17" i="66"/>
  <c r="R18" i="66"/>
  <c r="R19" i="66"/>
  <c r="R10" i="66"/>
  <c r="R11" i="66"/>
  <c r="R9" i="66"/>
  <c r="V8" i="41"/>
  <c r="O31" i="66"/>
  <c r="P31" i="66" s="1"/>
  <c r="K31" i="66"/>
  <c r="I31" i="66"/>
  <c r="E31" i="66"/>
  <c r="D31" i="66"/>
  <c r="O30" i="66"/>
  <c r="P30" i="66" s="1"/>
  <c r="K30" i="66"/>
  <c r="I30" i="66"/>
  <c r="E30" i="66"/>
  <c r="D30" i="66"/>
  <c r="O29" i="66"/>
  <c r="P29" i="66" s="1"/>
  <c r="K29" i="66"/>
  <c r="I29" i="66"/>
  <c r="E29" i="66"/>
  <c r="D29" i="66"/>
  <c r="O28" i="66"/>
  <c r="P28" i="66" s="1"/>
  <c r="K28" i="66"/>
  <c r="I28" i="66"/>
  <c r="E28" i="66"/>
  <c r="D28" i="66"/>
  <c r="O27" i="66"/>
  <c r="P27" i="66" s="1"/>
  <c r="K27" i="66"/>
  <c r="I27" i="66"/>
  <c r="E27" i="66"/>
  <c r="D27" i="66"/>
  <c r="O26" i="66"/>
  <c r="P26" i="66" s="1"/>
  <c r="K26" i="66"/>
  <c r="I26" i="66"/>
  <c r="E26" i="66"/>
  <c r="D26" i="66"/>
  <c r="O25" i="66"/>
  <c r="P25" i="66" s="1"/>
  <c r="K25" i="66"/>
  <c r="I25" i="66"/>
  <c r="E25" i="66"/>
  <c r="D25" i="66"/>
  <c r="O24" i="66"/>
  <c r="P24" i="66" s="1"/>
  <c r="K24" i="66"/>
  <c r="I24" i="66"/>
  <c r="E24" i="66"/>
  <c r="D24" i="66"/>
  <c r="O23" i="66"/>
  <c r="P23" i="66" s="1"/>
  <c r="K23" i="66"/>
  <c r="I23" i="66"/>
  <c r="E23" i="66"/>
  <c r="D23" i="66"/>
  <c r="O29" i="67" l="1"/>
  <c r="P29" i="67" s="1"/>
  <c r="O28" i="67"/>
  <c r="P28" i="67" s="1"/>
  <c r="Q28" i="67"/>
  <c r="Q29" i="67"/>
  <c r="O15" i="67"/>
  <c r="P15" i="67" s="1"/>
  <c r="O23" i="67"/>
  <c r="P23" i="67" s="1"/>
  <c r="O25" i="67"/>
  <c r="P25" i="67" s="1"/>
  <c r="O30" i="67"/>
  <c r="P30" i="67" s="1"/>
  <c r="O11" i="67"/>
  <c r="P11" i="67" s="1"/>
  <c r="O13" i="67"/>
  <c r="P13" i="67" s="1"/>
  <c r="O17" i="67"/>
  <c r="P17" i="67" s="1"/>
  <c r="O19" i="67"/>
  <c r="P19" i="67" s="1"/>
  <c r="O21" i="67"/>
  <c r="P21" i="67" s="1"/>
  <c r="O18" i="67"/>
  <c r="P18" i="67" s="1"/>
  <c r="O20" i="67"/>
  <c r="P20" i="67" s="1"/>
  <c r="O22" i="67"/>
  <c r="P22" i="67" s="1"/>
  <c r="I27" i="67"/>
  <c r="O27" i="67" s="1"/>
  <c r="P27" i="67" s="1"/>
  <c r="Q17" i="67"/>
  <c r="Q18" i="67"/>
  <c r="Q19" i="67"/>
  <c r="Q20" i="67"/>
  <c r="Q21" i="67"/>
  <c r="Q22" i="67"/>
  <c r="O12" i="67"/>
  <c r="P12" i="67" s="1"/>
  <c r="O14" i="67"/>
  <c r="P14" i="67" s="1"/>
  <c r="Q11" i="67"/>
  <c r="Q12" i="67"/>
  <c r="Q13" i="67"/>
  <c r="Q14" i="67"/>
  <c r="O8" i="67"/>
  <c r="P8" i="67" s="1"/>
  <c r="O9" i="67"/>
  <c r="P9" i="67" s="1"/>
  <c r="O16" i="67"/>
  <c r="P16" i="67" s="1"/>
  <c r="O24" i="67"/>
  <c r="P24" i="67" s="1"/>
  <c r="O26" i="67"/>
  <c r="P26" i="67" s="1"/>
  <c r="Q8" i="67"/>
  <c r="R8" i="67" s="1"/>
  <c r="I10" i="67"/>
  <c r="O10" i="67" s="1"/>
  <c r="P10" i="67" s="1"/>
  <c r="Q10" i="67"/>
  <c r="R10" i="67" s="1"/>
  <c r="Q9" i="67"/>
  <c r="R9" i="67" s="1"/>
  <c r="Q15" i="67"/>
  <c r="Q16" i="67"/>
  <c r="Q23" i="67"/>
  <c r="Q24" i="67"/>
  <c r="Q25" i="67"/>
  <c r="Q26" i="67"/>
  <c r="Q30" i="67"/>
  <c r="F28" i="66"/>
  <c r="M28" i="66"/>
  <c r="N28" i="66" s="1"/>
  <c r="F24" i="66"/>
  <c r="M24" i="66"/>
  <c r="N24" i="66" s="1"/>
  <c r="F29" i="66"/>
  <c r="M29" i="66"/>
  <c r="N29" i="66" s="1"/>
  <c r="F25" i="66"/>
  <c r="M25" i="66"/>
  <c r="N25" i="66" s="1"/>
  <c r="F30" i="66"/>
  <c r="M30" i="66"/>
  <c r="N30" i="66" s="1"/>
  <c r="F31" i="66"/>
  <c r="M31" i="66"/>
  <c r="N31" i="66" s="1"/>
  <c r="F23" i="66"/>
  <c r="M23" i="66"/>
  <c r="N23" i="66" s="1"/>
  <c r="F26" i="66"/>
  <c r="M26" i="66"/>
  <c r="N26" i="66" s="1"/>
  <c r="F27" i="66"/>
  <c r="M27" i="66"/>
  <c r="N27" i="66" s="1"/>
  <c r="O17" i="66"/>
  <c r="P17" i="66" s="1"/>
  <c r="K17" i="66"/>
  <c r="I17" i="66"/>
  <c r="E17" i="66"/>
  <c r="D17" i="66"/>
  <c r="O16" i="66"/>
  <c r="P16" i="66" s="1"/>
  <c r="K16" i="66"/>
  <c r="I16" i="66"/>
  <c r="E16" i="66"/>
  <c r="D16" i="66"/>
  <c r="O15" i="66"/>
  <c r="P15" i="66" s="1"/>
  <c r="K15" i="66"/>
  <c r="I15" i="66"/>
  <c r="E15" i="66"/>
  <c r="D15" i="66"/>
  <c r="O14" i="66"/>
  <c r="P14" i="66" s="1"/>
  <c r="K14" i="66"/>
  <c r="I14" i="66"/>
  <c r="E14" i="66"/>
  <c r="D14" i="66"/>
  <c r="O13" i="66"/>
  <c r="P13" i="66" s="1"/>
  <c r="K13" i="66"/>
  <c r="I13" i="66"/>
  <c r="E13" i="66"/>
  <c r="D13" i="66"/>
  <c r="O22" i="66"/>
  <c r="P22" i="66" s="1"/>
  <c r="K22" i="66"/>
  <c r="I22" i="66"/>
  <c r="E22" i="66"/>
  <c r="D22" i="66"/>
  <c r="O21" i="66"/>
  <c r="P21" i="66" s="1"/>
  <c r="K21" i="66"/>
  <c r="I21" i="66"/>
  <c r="E21" i="66"/>
  <c r="D21" i="66"/>
  <c r="O20" i="66"/>
  <c r="P20" i="66" s="1"/>
  <c r="K20" i="66"/>
  <c r="I20" i="66"/>
  <c r="E20" i="66"/>
  <c r="D20" i="66"/>
  <c r="B32" i="66"/>
  <c r="O19" i="66"/>
  <c r="P19" i="66" s="1"/>
  <c r="K19" i="66"/>
  <c r="I19" i="66"/>
  <c r="E19" i="66"/>
  <c r="D19" i="66"/>
  <c r="O18" i="66"/>
  <c r="P18" i="66" s="1"/>
  <c r="K18" i="66"/>
  <c r="I18" i="66"/>
  <c r="E18" i="66"/>
  <c r="D18" i="66"/>
  <c r="O12" i="66"/>
  <c r="P12" i="66" s="1"/>
  <c r="K12" i="66"/>
  <c r="I12" i="66"/>
  <c r="E12" i="66"/>
  <c r="D12" i="66"/>
  <c r="O11" i="66"/>
  <c r="P11" i="66" s="1"/>
  <c r="I11" i="66"/>
  <c r="K11" i="66" s="1"/>
  <c r="E11" i="66"/>
  <c r="D11" i="66"/>
  <c r="O10" i="66"/>
  <c r="P10" i="66" s="1"/>
  <c r="K10" i="66"/>
  <c r="I10" i="66"/>
  <c r="E10" i="66"/>
  <c r="D10" i="66"/>
  <c r="O9" i="66"/>
  <c r="P9" i="66" s="1"/>
  <c r="K9" i="66"/>
  <c r="I9" i="66"/>
  <c r="E9" i="66"/>
  <c r="D9" i="66"/>
  <c r="P8" i="66"/>
  <c r="K8" i="66"/>
  <c r="I8" i="66"/>
  <c r="E8" i="66"/>
  <c r="D8" i="66"/>
  <c r="C13" i="65" l="1"/>
  <c r="BL33" i="66"/>
  <c r="BF33" i="66" s="1"/>
  <c r="BI33" i="66"/>
  <c r="BC33" i="66" s="1"/>
  <c r="BK33" i="66"/>
  <c r="BE33" i="66" s="1"/>
  <c r="BM33" i="66"/>
  <c r="BG33" i="66" s="1"/>
  <c r="BJ33" i="66"/>
  <c r="BD33" i="66" s="1"/>
  <c r="I14" i="65"/>
  <c r="N14" i="65" s="1"/>
  <c r="R26" i="67"/>
  <c r="R24" i="67"/>
  <c r="R16" i="67"/>
  <c r="R13" i="67"/>
  <c r="R11" i="67"/>
  <c r="R21" i="67"/>
  <c r="R19" i="67"/>
  <c r="R17" i="67"/>
  <c r="R29" i="67"/>
  <c r="R30" i="67"/>
  <c r="R25" i="67"/>
  <c r="R23" i="67"/>
  <c r="R15" i="67"/>
  <c r="R14" i="67"/>
  <c r="R12" i="67"/>
  <c r="R22" i="67"/>
  <c r="R20" i="67"/>
  <c r="R18" i="67"/>
  <c r="R28" i="67"/>
  <c r="F15" i="66"/>
  <c r="M15" i="66"/>
  <c r="N15" i="66" s="1"/>
  <c r="M12" i="66"/>
  <c r="N12" i="66" s="1"/>
  <c r="M20" i="66"/>
  <c r="N20" i="66" s="1"/>
  <c r="F22" i="66"/>
  <c r="M22" i="66"/>
  <c r="N22" i="66" s="1"/>
  <c r="F14" i="66"/>
  <c r="M14" i="66"/>
  <c r="N14" i="66" s="1"/>
  <c r="M8" i="66"/>
  <c r="N8" i="66" s="1"/>
  <c r="M21" i="66"/>
  <c r="N21" i="66" s="1"/>
  <c r="F13" i="66"/>
  <c r="M13" i="66"/>
  <c r="N13" i="66" s="1"/>
  <c r="F16" i="66"/>
  <c r="M16" i="66"/>
  <c r="N16" i="66" s="1"/>
  <c r="F17" i="66"/>
  <c r="M17" i="66"/>
  <c r="N17" i="66" s="1"/>
  <c r="F8" i="66"/>
  <c r="F11" i="66"/>
  <c r="F12" i="66"/>
  <c r="F21" i="66"/>
  <c r="F20" i="66"/>
  <c r="P32" i="66"/>
  <c r="E13" i="65" s="1"/>
  <c r="F9" i="66"/>
  <c r="F10" i="66"/>
  <c r="M10" i="66"/>
  <c r="N10" i="66" s="1"/>
  <c r="F18" i="66"/>
  <c r="F19" i="66"/>
  <c r="M19" i="66"/>
  <c r="N19" i="66" s="1"/>
  <c r="M9" i="66"/>
  <c r="N9" i="66" s="1"/>
  <c r="M11" i="66"/>
  <c r="N11" i="66" s="1"/>
  <c r="M18" i="66"/>
  <c r="N18" i="66" s="1"/>
  <c r="G13" i="65" l="1"/>
  <c r="Q13" i="65"/>
  <c r="O13" i="65"/>
  <c r="N13" i="65"/>
  <c r="R32" i="67"/>
  <c r="P32" i="67"/>
  <c r="D14" i="65" s="1"/>
  <c r="F14" i="65" s="1"/>
  <c r="N32" i="66"/>
  <c r="D13" i="65" s="1"/>
  <c r="F13" i="65" s="1"/>
  <c r="M14" i="65" l="1"/>
  <c r="R14" i="65" s="1"/>
  <c r="E14" i="65"/>
  <c r="G14" i="65" s="1"/>
  <c r="K14" i="65"/>
  <c r="L14" i="65"/>
  <c r="Q14" i="65" s="1"/>
  <c r="K16" i="65" l="1"/>
  <c r="K33" i="65" s="1"/>
  <c r="P14" i="65"/>
  <c r="M27" i="65"/>
  <c r="R27" i="65" s="1"/>
  <c r="R25" i="65"/>
  <c r="CD16" i="41"/>
  <c r="C14" i="61"/>
  <c r="E14" i="61"/>
  <c r="E49" i="64" l="1"/>
  <c r="C49" i="64"/>
  <c r="G75" i="64"/>
  <c r="G74" i="64"/>
  <c r="G73" i="64"/>
  <c r="G72" i="64"/>
  <c r="G71" i="64"/>
  <c r="G70" i="64"/>
  <c r="E55" i="64"/>
  <c r="C55" i="64"/>
  <c r="E37" i="64"/>
  <c r="C37" i="64"/>
  <c r="G36" i="64"/>
  <c r="B36" i="64"/>
  <c r="E34" i="64"/>
  <c r="E35" i="64" s="1"/>
  <c r="C34" i="64"/>
  <c r="C35" i="64" s="1"/>
  <c r="E33" i="64"/>
  <c r="C33" i="64"/>
  <c r="E32" i="64"/>
  <c r="C32" i="64"/>
  <c r="F25" i="64"/>
  <c r="F26" i="64" s="1"/>
  <c r="E25" i="64"/>
  <c r="E26" i="64" s="1"/>
  <c r="D25" i="64"/>
  <c r="D26" i="64" s="1"/>
  <c r="C25" i="64"/>
  <c r="C26" i="64" s="1"/>
  <c r="F24" i="64"/>
  <c r="E23" i="64"/>
  <c r="D23" i="64"/>
  <c r="E18" i="64"/>
  <c r="C18" i="64"/>
  <c r="H17" i="64"/>
  <c r="E16" i="64"/>
  <c r="C16" i="64"/>
  <c r="E15" i="64"/>
  <c r="C15" i="64"/>
  <c r="E10" i="64"/>
  <c r="C10" i="64"/>
  <c r="E41" i="63"/>
  <c r="G41" i="63"/>
  <c r="I41" i="63"/>
  <c r="C41" i="63"/>
  <c r="E45" i="62"/>
  <c r="G45" i="62"/>
  <c r="I45" i="62"/>
  <c r="K45" i="62"/>
  <c r="C45" i="62"/>
  <c r="E44" i="61"/>
  <c r="G44" i="61"/>
  <c r="I44" i="61"/>
  <c r="K44" i="61"/>
  <c r="C44" i="61"/>
  <c r="E43" i="60"/>
  <c r="G43" i="60"/>
  <c r="I43" i="60"/>
  <c r="K43" i="60"/>
  <c r="M43" i="60"/>
  <c r="C43" i="60"/>
  <c r="J55" i="63"/>
  <c r="I55" i="63"/>
  <c r="H55" i="63"/>
  <c r="G55" i="63"/>
  <c r="F55" i="63"/>
  <c r="E55" i="63"/>
  <c r="D55" i="63"/>
  <c r="C55" i="63"/>
  <c r="J48" i="63"/>
  <c r="H48" i="63"/>
  <c r="F48" i="63"/>
  <c r="D48" i="63"/>
  <c r="H16" i="63"/>
  <c r="F16" i="63"/>
  <c r="D16" i="63"/>
  <c r="I14" i="63"/>
  <c r="G14" i="63"/>
  <c r="E14" i="63"/>
  <c r="C14" i="63"/>
  <c r="I13" i="63"/>
  <c r="G13" i="63"/>
  <c r="G20" i="63" s="1"/>
  <c r="G32" i="63" s="1"/>
  <c r="E13" i="63"/>
  <c r="E20" i="63" s="1"/>
  <c r="E32" i="63" s="1"/>
  <c r="C13" i="63"/>
  <c r="C20" i="63" s="1"/>
  <c r="C32" i="63" s="1"/>
  <c r="L52" i="62"/>
  <c r="K52" i="62"/>
  <c r="J52" i="62"/>
  <c r="I52" i="62"/>
  <c r="H52" i="62"/>
  <c r="G52" i="62"/>
  <c r="E52" i="62"/>
  <c r="D52" i="62"/>
  <c r="L20" i="62"/>
  <c r="J20" i="62"/>
  <c r="H20" i="62"/>
  <c r="F20" i="62"/>
  <c r="D20" i="62"/>
  <c r="L18" i="62"/>
  <c r="J18" i="62"/>
  <c r="H18" i="62"/>
  <c r="F18" i="62"/>
  <c r="D18" i="62"/>
  <c r="K16" i="62"/>
  <c r="I16" i="62"/>
  <c r="G16" i="62"/>
  <c r="E16" i="62"/>
  <c r="C16" i="62"/>
  <c r="K15" i="62"/>
  <c r="I15" i="62"/>
  <c r="G15" i="62"/>
  <c r="E15" i="62"/>
  <c r="E24" i="62" s="1"/>
  <c r="E36" i="62" s="1"/>
  <c r="C15" i="62"/>
  <c r="H53" i="61"/>
  <c r="G53" i="61"/>
  <c r="E53" i="61"/>
  <c r="D53" i="61"/>
  <c r="L19" i="61"/>
  <c r="J19" i="61"/>
  <c r="H19" i="61"/>
  <c r="F19" i="61"/>
  <c r="D19" i="61"/>
  <c r="L17" i="61"/>
  <c r="J17" i="61"/>
  <c r="H17" i="61"/>
  <c r="F17" i="61"/>
  <c r="D17" i="61"/>
  <c r="K15" i="61"/>
  <c r="I15" i="61"/>
  <c r="G15" i="61"/>
  <c r="E15" i="61"/>
  <c r="C15" i="61"/>
  <c r="K14" i="61"/>
  <c r="I14" i="61"/>
  <c r="G14" i="61"/>
  <c r="N56" i="60"/>
  <c r="M56" i="60"/>
  <c r="L56" i="60"/>
  <c r="H56" i="60"/>
  <c r="G56" i="60"/>
  <c r="F56" i="60"/>
  <c r="E56" i="60"/>
  <c r="D56" i="60"/>
  <c r="I50" i="60"/>
  <c r="H50" i="60"/>
  <c r="G50" i="60"/>
  <c r="F50" i="60"/>
  <c r="E50" i="60"/>
  <c r="D50" i="60"/>
  <c r="N18" i="60"/>
  <c r="L18" i="60"/>
  <c r="J18" i="60"/>
  <c r="H18" i="60"/>
  <c r="F18" i="60"/>
  <c r="D18" i="60"/>
  <c r="N16" i="60"/>
  <c r="L16" i="60"/>
  <c r="J16" i="60"/>
  <c r="H16" i="60"/>
  <c r="F16" i="60"/>
  <c r="D16" i="60"/>
  <c r="M14" i="60"/>
  <c r="K14" i="60"/>
  <c r="I14" i="60"/>
  <c r="G14" i="60"/>
  <c r="E14" i="60"/>
  <c r="C14" i="60"/>
  <c r="M13" i="60"/>
  <c r="M22" i="60" s="1"/>
  <c r="M34" i="60" s="1"/>
  <c r="K13" i="60"/>
  <c r="I13" i="60"/>
  <c r="G13" i="60"/>
  <c r="E13" i="60"/>
  <c r="C13" i="60"/>
  <c r="C46" i="59"/>
  <c r="C73" i="59"/>
  <c r="C72" i="59"/>
  <c r="C71" i="59"/>
  <c r="C70" i="59"/>
  <c r="C69" i="59"/>
  <c r="C51" i="59"/>
  <c r="C34" i="59"/>
  <c r="B33" i="59"/>
  <c r="C31" i="59"/>
  <c r="C32" i="59" s="1"/>
  <c r="C30" i="59"/>
  <c r="C29" i="59"/>
  <c r="D23" i="59"/>
  <c r="D24" i="59" s="1"/>
  <c r="C23" i="59"/>
  <c r="C22" i="59" s="1"/>
  <c r="C16" i="59"/>
  <c r="E15" i="59"/>
  <c r="C14" i="59"/>
  <c r="C13" i="59"/>
  <c r="C10" i="59"/>
  <c r="C46" i="58"/>
  <c r="C75" i="58"/>
  <c r="C74" i="58"/>
  <c r="C73" i="58"/>
  <c r="C72" i="58"/>
  <c r="C71" i="58"/>
  <c r="C70" i="58"/>
  <c r="C51" i="58"/>
  <c r="C34" i="58"/>
  <c r="B33" i="58"/>
  <c r="C31" i="58"/>
  <c r="C32" i="58" s="1"/>
  <c r="C30" i="58"/>
  <c r="C29" i="58"/>
  <c r="D23" i="58"/>
  <c r="D24" i="58" s="1"/>
  <c r="C23" i="58"/>
  <c r="C24" i="58" s="1"/>
  <c r="C16" i="58"/>
  <c r="E15" i="58"/>
  <c r="C14" i="58"/>
  <c r="C13" i="58"/>
  <c r="C10" i="58"/>
  <c r="C50" i="57"/>
  <c r="C80" i="57"/>
  <c r="C79" i="57"/>
  <c r="C78" i="57"/>
  <c r="C77" i="57"/>
  <c r="C76" i="57"/>
  <c r="C75" i="57"/>
  <c r="C74" i="57"/>
  <c r="C73" i="57"/>
  <c r="C72" i="57"/>
  <c r="C55" i="57"/>
  <c r="B35" i="57"/>
  <c r="C33" i="57"/>
  <c r="C34" i="57" s="1"/>
  <c r="C32" i="57"/>
  <c r="C31" i="57"/>
  <c r="E30" i="57"/>
  <c r="C37" i="57" s="1"/>
  <c r="C18" i="57"/>
  <c r="F17" i="57"/>
  <c r="C16" i="57"/>
  <c r="C15" i="57"/>
  <c r="C11" i="57"/>
  <c r="C9" i="57"/>
  <c r="C47" i="56"/>
  <c r="C53" i="56"/>
  <c r="C54" i="56" s="1"/>
  <c r="C52" i="56"/>
  <c r="D52" i="56" s="1"/>
  <c r="B34" i="56"/>
  <c r="C32" i="56"/>
  <c r="C33" i="56" s="1"/>
  <c r="C31" i="56"/>
  <c r="C30" i="56"/>
  <c r="D24" i="56"/>
  <c r="D25" i="56" s="1"/>
  <c r="C24" i="56"/>
  <c r="C23" i="56" s="1"/>
  <c r="C17" i="56"/>
  <c r="E16" i="56"/>
  <c r="C15" i="56"/>
  <c r="C14" i="56"/>
  <c r="C10" i="56"/>
  <c r="C8" i="56"/>
  <c r="C49" i="55"/>
  <c r="C55" i="55"/>
  <c r="C56" i="55" s="1"/>
  <c r="C54" i="55"/>
  <c r="D54" i="55" s="1"/>
  <c r="B39" i="55"/>
  <c r="C35" i="55"/>
  <c r="B34" i="55"/>
  <c r="C32" i="55"/>
  <c r="C33" i="55" s="1"/>
  <c r="C31" i="55"/>
  <c r="C30" i="55"/>
  <c r="D24" i="55"/>
  <c r="D25" i="55" s="1"/>
  <c r="C24" i="55"/>
  <c r="C22" i="55" s="1"/>
  <c r="C17" i="55"/>
  <c r="E16" i="55"/>
  <c r="C15" i="55"/>
  <c r="C14" i="55"/>
  <c r="C10" i="55"/>
  <c r="C8" i="55"/>
  <c r="C48" i="54"/>
  <c r="C53" i="54"/>
  <c r="C54" i="54" s="1"/>
  <c r="C52" i="54"/>
  <c r="D52" i="54" s="1"/>
  <c r="B33" i="54"/>
  <c r="C31" i="54"/>
  <c r="C32" i="54" s="1"/>
  <c r="C30" i="54"/>
  <c r="C29" i="54"/>
  <c r="D23" i="54"/>
  <c r="D24" i="54" s="1"/>
  <c r="C23" i="54"/>
  <c r="C21" i="54" s="1"/>
  <c r="C16" i="54"/>
  <c r="E15" i="54"/>
  <c r="C14" i="54"/>
  <c r="C13" i="54"/>
  <c r="C10" i="54"/>
  <c r="C8" i="54"/>
  <c r="C49" i="53"/>
  <c r="C55" i="53"/>
  <c r="C56" i="53" s="1"/>
  <c r="C54" i="53"/>
  <c r="D54" i="53" s="1"/>
  <c r="C36" i="53"/>
  <c r="B35" i="53"/>
  <c r="C33" i="53"/>
  <c r="C34" i="53" s="1"/>
  <c r="C32" i="53"/>
  <c r="C31" i="53"/>
  <c r="D23" i="53"/>
  <c r="D24" i="53" s="1"/>
  <c r="C23" i="53"/>
  <c r="C22" i="53" s="1"/>
  <c r="C16" i="53"/>
  <c r="E15" i="53"/>
  <c r="C14" i="53"/>
  <c r="C13" i="53"/>
  <c r="C10" i="53"/>
  <c r="C8" i="53"/>
  <c r="C51" i="52"/>
  <c r="C57" i="52"/>
  <c r="C58" i="52" s="1"/>
  <c r="C56" i="52"/>
  <c r="D56" i="52" s="1"/>
  <c r="C37" i="52"/>
  <c r="B36" i="52"/>
  <c r="C34" i="52"/>
  <c r="C35" i="52" s="1"/>
  <c r="C33" i="52"/>
  <c r="B40" i="52" s="1"/>
  <c r="C32" i="52"/>
  <c r="D24" i="52"/>
  <c r="D25" i="52" s="1"/>
  <c r="C24" i="52"/>
  <c r="C23" i="52" s="1"/>
  <c r="C17" i="52"/>
  <c r="E16" i="52"/>
  <c r="C15" i="52"/>
  <c r="C14" i="52"/>
  <c r="C10" i="52"/>
  <c r="C8" i="52"/>
  <c r="C38" i="64" l="1"/>
  <c r="C35" i="59"/>
  <c r="E38" i="64"/>
  <c r="C35" i="58"/>
  <c r="C38" i="57"/>
  <c r="E42" i="63"/>
  <c r="C23" i="61"/>
  <c r="C25" i="55"/>
  <c r="C35" i="56"/>
  <c r="C36" i="56" s="1"/>
  <c r="C24" i="59"/>
  <c r="F23" i="64"/>
  <c r="C23" i="55"/>
  <c r="C22" i="58"/>
  <c r="C23" i="64"/>
  <c r="C24" i="64"/>
  <c r="G23" i="61"/>
  <c r="G35" i="61" s="1"/>
  <c r="G45" i="61" s="1"/>
  <c r="C21" i="59"/>
  <c r="C18" i="56"/>
  <c r="C58" i="56" s="1"/>
  <c r="E22" i="60"/>
  <c r="E34" i="60" s="1"/>
  <c r="E44" i="60" s="1"/>
  <c r="D24" i="64"/>
  <c r="D21" i="54"/>
  <c r="B38" i="54"/>
  <c r="B37" i="54" s="1"/>
  <c r="C37" i="54" s="1"/>
  <c r="G22" i="60"/>
  <c r="G34" i="60" s="1"/>
  <c r="G44" i="60" s="1"/>
  <c r="E24" i="64"/>
  <c r="E19" i="64"/>
  <c r="E42" i="64" s="1"/>
  <c r="C21" i="58"/>
  <c r="C22" i="60"/>
  <c r="C34" i="60" s="1"/>
  <c r="C44" i="60" s="1"/>
  <c r="K22" i="60"/>
  <c r="K34" i="60" s="1"/>
  <c r="K44" i="60" s="1"/>
  <c r="C24" i="62"/>
  <c r="C36" i="62" s="1"/>
  <c r="C46" i="62" s="1"/>
  <c r="K24" i="62"/>
  <c r="K36" i="62" s="1"/>
  <c r="K46" i="62" s="1"/>
  <c r="E50" i="64"/>
  <c r="E56" i="64"/>
  <c r="C56" i="64"/>
  <c r="G56" i="64" s="1"/>
  <c r="C19" i="64"/>
  <c r="E57" i="64"/>
  <c r="G42" i="63"/>
  <c r="C42" i="63"/>
  <c r="J16" i="63"/>
  <c r="I20" i="63" s="1"/>
  <c r="I32" i="63" s="1"/>
  <c r="I42" i="63" s="1"/>
  <c r="E46" i="62"/>
  <c r="G24" i="62"/>
  <c r="G36" i="62" s="1"/>
  <c r="G46" i="62" s="1"/>
  <c r="I24" i="62"/>
  <c r="I36" i="62" s="1"/>
  <c r="I46" i="62" s="1"/>
  <c r="I23" i="61"/>
  <c r="I35" i="61" s="1"/>
  <c r="I45" i="61" s="1"/>
  <c r="C35" i="61"/>
  <c r="C45" i="61" s="1"/>
  <c r="K23" i="61"/>
  <c r="K35" i="61" s="1"/>
  <c r="K45" i="61" s="1"/>
  <c r="E23" i="61"/>
  <c r="E35" i="61" s="1"/>
  <c r="E45" i="61" s="1"/>
  <c r="M44" i="60"/>
  <c r="I22" i="60"/>
  <c r="I34" i="60" s="1"/>
  <c r="I44" i="60" s="1"/>
  <c r="D21" i="59"/>
  <c r="C53" i="59"/>
  <c r="D53" i="59" s="1"/>
  <c r="C17" i="59"/>
  <c r="C39" i="59" s="1"/>
  <c r="C47" i="59" s="1"/>
  <c r="D22" i="59"/>
  <c r="C17" i="58"/>
  <c r="C39" i="58" s="1"/>
  <c r="C47" i="58" s="1"/>
  <c r="D21" i="58"/>
  <c r="D22" i="58"/>
  <c r="C25" i="57"/>
  <c r="C24" i="57" s="1"/>
  <c r="C19" i="57"/>
  <c r="C22" i="56"/>
  <c r="D22" i="56"/>
  <c r="C25" i="56"/>
  <c r="D23" i="56"/>
  <c r="B38" i="55"/>
  <c r="C38" i="55" s="1"/>
  <c r="D22" i="55"/>
  <c r="C18" i="55"/>
  <c r="C59" i="55" s="1"/>
  <c r="D59" i="55" s="1"/>
  <c r="B37" i="55"/>
  <c r="C37" i="55" s="1"/>
  <c r="D23" i="55"/>
  <c r="C17" i="54"/>
  <c r="C24" i="54"/>
  <c r="C22" i="54"/>
  <c r="D22" i="54"/>
  <c r="C40" i="52"/>
  <c r="C18" i="52"/>
  <c r="C44" i="52" s="1"/>
  <c r="C52" i="52" s="1"/>
  <c r="C17" i="53"/>
  <c r="C60" i="53" s="1"/>
  <c r="D21" i="53"/>
  <c r="C38" i="53"/>
  <c r="C57" i="53" s="1"/>
  <c r="D57" i="53" s="1"/>
  <c r="C21" i="53"/>
  <c r="C24" i="53"/>
  <c r="D22" i="53"/>
  <c r="D22" i="52"/>
  <c r="C25" i="52"/>
  <c r="C22" i="52"/>
  <c r="C61" i="52"/>
  <c r="D61" i="52" s="1"/>
  <c r="B39" i="52"/>
  <c r="C39" i="52" s="1"/>
  <c r="D23" i="52"/>
  <c r="C51" i="51"/>
  <c r="C56" i="51"/>
  <c r="C57" i="51" s="1"/>
  <c r="C55" i="51"/>
  <c r="C36" i="51"/>
  <c r="B35" i="51"/>
  <c r="C33" i="51"/>
  <c r="C34" i="51" s="1"/>
  <c r="C32" i="51"/>
  <c r="C31" i="51"/>
  <c r="D24" i="51"/>
  <c r="D25" i="51" s="1"/>
  <c r="C24" i="51"/>
  <c r="C25" i="51" s="1"/>
  <c r="C17" i="51"/>
  <c r="E16" i="51"/>
  <c r="C15" i="51"/>
  <c r="C14" i="51"/>
  <c r="C10" i="51"/>
  <c r="C8" i="51"/>
  <c r="C52" i="50"/>
  <c r="C57" i="50"/>
  <c r="C58" i="50" s="1"/>
  <c r="C56" i="50"/>
  <c r="D56" i="50" s="1"/>
  <c r="C36" i="50"/>
  <c r="B35" i="50"/>
  <c r="C33" i="50"/>
  <c r="C34" i="50" s="1"/>
  <c r="C32" i="50"/>
  <c r="C31" i="50"/>
  <c r="D24" i="50"/>
  <c r="D25" i="50" s="1"/>
  <c r="C24" i="50"/>
  <c r="C25" i="50" s="1"/>
  <c r="C17" i="50"/>
  <c r="E16" i="50"/>
  <c r="C15" i="50"/>
  <c r="C14" i="50"/>
  <c r="C10" i="50"/>
  <c r="C8" i="50"/>
  <c r="C52" i="49"/>
  <c r="C57" i="49"/>
  <c r="C58" i="49" s="1"/>
  <c r="C56" i="49"/>
  <c r="D56" i="49" s="1"/>
  <c r="C36" i="49"/>
  <c r="B35" i="49"/>
  <c r="C33" i="49"/>
  <c r="C34" i="49" s="1"/>
  <c r="C32" i="49"/>
  <c r="C31" i="49"/>
  <c r="D24" i="49"/>
  <c r="D25" i="49" s="1"/>
  <c r="C24" i="49"/>
  <c r="C25" i="49" s="1"/>
  <c r="C17" i="49"/>
  <c r="E16" i="49"/>
  <c r="C15" i="49"/>
  <c r="C14" i="49"/>
  <c r="C10" i="49"/>
  <c r="C8" i="49"/>
  <c r="D11" i="41"/>
  <c r="D9" i="41"/>
  <c r="C57" i="56" l="1"/>
  <c r="D57" i="56" s="1"/>
  <c r="B36" i="54"/>
  <c r="C36" i="54" s="1"/>
  <c r="C39" i="56"/>
  <c r="C48" i="56" s="1"/>
  <c r="D36" i="56"/>
  <c r="C62" i="52"/>
  <c r="D22" i="50"/>
  <c r="C57" i="57"/>
  <c r="C42" i="57"/>
  <c r="C51" i="57" s="1"/>
  <c r="C36" i="58"/>
  <c r="B42" i="50"/>
  <c r="B40" i="50" s="1"/>
  <c r="C40" i="50" s="1"/>
  <c r="C59" i="53"/>
  <c r="D59" i="53" s="1"/>
  <c r="C42" i="53"/>
  <c r="C50" i="53" s="1"/>
  <c r="C58" i="54"/>
  <c r="C41" i="54"/>
  <c r="C49" i="54" s="1"/>
  <c r="C39" i="55"/>
  <c r="C58" i="55" s="1"/>
  <c r="B42" i="49"/>
  <c r="B40" i="49" s="1"/>
  <c r="C40" i="49" s="1"/>
  <c r="C60" i="55"/>
  <c r="C42" i="55"/>
  <c r="C50" i="55" s="1"/>
  <c r="C53" i="58"/>
  <c r="D53" i="58" s="1"/>
  <c r="C57" i="64"/>
  <c r="G57" i="64" s="1"/>
  <c r="C42" i="64"/>
  <c r="C50" i="64" s="1"/>
  <c r="C54" i="59"/>
  <c r="D54" i="59" s="1"/>
  <c r="C36" i="59"/>
  <c r="C52" i="58"/>
  <c r="D52" i="58" s="1"/>
  <c r="C23" i="57"/>
  <c r="C26" i="57"/>
  <c r="C56" i="57"/>
  <c r="C39" i="57"/>
  <c r="C55" i="56"/>
  <c r="D55" i="56" s="1"/>
  <c r="C56" i="56"/>
  <c r="C57" i="54"/>
  <c r="D57" i="54" s="1"/>
  <c r="C55" i="54"/>
  <c r="D55" i="54" s="1"/>
  <c r="C38" i="54"/>
  <c r="D38" i="54" s="1"/>
  <c r="C56" i="54"/>
  <c r="C41" i="52"/>
  <c r="C59" i="52" s="1"/>
  <c r="D59" i="52" s="1"/>
  <c r="C58" i="53"/>
  <c r="D22" i="51"/>
  <c r="C18" i="51"/>
  <c r="B41" i="51"/>
  <c r="C22" i="51"/>
  <c r="D55" i="51"/>
  <c r="C23" i="51"/>
  <c r="D23" i="51"/>
  <c r="C18" i="50"/>
  <c r="C45" i="50" s="1"/>
  <c r="C53" i="50" s="1"/>
  <c r="C22" i="50"/>
  <c r="C23" i="50"/>
  <c r="D23" i="50"/>
  <c r="D22" i="49"/>
  <c r="C18" i="49"/>
  <c r="C45" i="49" s="1"/>
  <c r="C53" i="49" s="1"/>
  <c r="C22" i="49"/>
  <c r="C23" i="49"/>
  <c r="D23" i="49"/>
  <c r="D39" i="55" l="1"/>
  <c r="C57" i="55"/>
  <c r="D57" i="55" s="1"/>
  <c r="B39" i="49"/>
  <c r="C39" i="49" s="1"/>
  <c r="B41" i="49"/>
  <c r="B41" i="50"/>
  <c r="C41" i="50" s="1"/>
  <c r="B39" i="50"/>
  <c r="C39" i="50" s="1"/>
  <c r="C61" i="51"/>
  <c r="C44" i="51"/>
  <c r="C52" i="51" s="1"/>
  <c r="C60" i="52"/>
  <c r="C60" i="51"/>
  <c r="B39" i="51"/>
  <c r="C39" i="51" s="1"/>
  <c r="B40" i="51"/>
  <c r="C40" i="51" s="1"/>
  <c r="C61" i="50"/>
  <c r="C62" i="50"/>
  <c r="C61" i="49"/>
  <c r="C62" i="49"/>
  <c r="BI9" i="41"/>
  <c r="BO9" i="41" s="1"/>
  <c r="BI10" i="41"/>
  <c r="BO10" i="41" s="1"/>
  <c r="BI11" i="41"/>
  <c r="BO11" i="41" s="1"/>
  <c r="BI12" i="41"/>
  <c r="BO12" i="41" s="1"/>
  <c r="BI13" i="41"/>
  <c r="BO13" i="41" s="1"/>
  <c r="BI14" i="41"/>
  <c r="BO14" i="41" s="1"/>
  <c r="BI15" i="41"/>
  <c r="BO15" i="41" s="1"/>
  <c r="BI16" i="41"/>
  <c r="BO16" i="41" s="1"/>
  <c r="BI17" i="41"/>
  <c r="BO17" i="41" s="1"/>
  <c r="BI18" i="41"/>
  <c r="BO18" i="41" s="1"/>
  <c r="BI19" i="41"/>
  <c r="BO19" i="41" s="1"/>
  <c r="BI20" i="41"/>
  <c r="BO20" i="41" s="1"/>
  <c r="BI21" i="41"/>
  <c r="BO21" i="41" s="1"/>
  <c r="BI22" i="41"/>
  <c r="BO22" i="41" s="1"/>
  <c r="BI23" i="41"/>
  <c r="BO23" i="41" s="1"/>
  <c r="BI24" i="41"/>
  <c r="BO24" i="41" s="1"/>
  <c r="BI25" i="41"/>
  <c r="BO25" i="41" s="1"/>
  <c r="BI26" i="41"/>
  <c r="BO26" i="41" s="1"/>
  <c r="BI27" i="41"/>
  <c r="BO27" i="41" s="1"/>
  <c r="BI28" i="41"/>
  <c r="BO28" i="41" s="1"/>
  <c r="BI29" i="41"/>
  <c r="BO29" i="41" s="1"/>
  <c r="BI30" i="41"/>
  <c r="BO30" i="41" s="1"/>
  <c r="BI31" i="41"/>
  <c r="BO31" i="41" s="1"/>
  <c r="BI8" i="41"/>
  <c r="BO8" i="41" s="1"/>
  <c r="I9" i="46"/>
  <c r="G10" i="46"/>
  <c r="G11" i="46"/>
  <c r="G12" i="46"/>
  <c r="G13" i="46"/>
  <c r="G14" i="46"/>
  <c r="I14" i="46"/>
  <c r="G15" i="46"/>
  <c r="G16" i="46"/>
  <c r="G17" i="46"/>
  <c r="G18" i="46"/>
  <c r="G19" i="46"/>
  <c r="I19" i="46"/>
  <c r="G20" i="46"/>
  <c r="G21" i="46"/>
  <c r="G22" i="46"/>
  <c r="G23" i="46"/>
  <c r="G24" i="46"/>
  <c r="I24" i="46"/>
  <c r="G26" i="46"/>
  <c r="I7" i="46"/>
  <c r="G53" i="46"/>
  <c r="G52" i="46"/>
  <c r="J51" i="46"/>
  <c r="G51" i="46"/>
  <c r="G49" i="46"/>
  <c r="G48" i="46"/>
  <c r="J47" i="46"/>
  <c r="G47" i="46"/>
  <c r="I46" i="46"/>
  <c r="G45" i="46"/>
  <c r="G44" i="46"/>
  <c r="G43" i="46"/>
  <c r="I42" i="46"/>
  <c r="G41" i="46"/>
  <c r="G40" i="46"/>
  <c r="G39" i="46"/>
  <c r="I38" i="46"/>
  <c r="G37" i="46"/>
  <c r="G36" i="46"/>
  <c r="J35" i="46"/>
  <c r="G35" i="46"/>
  <c r="I34" i="46"/>
  <c r="G33" i="46"/>
  <c r="G32" i="46"/>
  <c r="H31" i="46"/>
  <c r="J31" i="46"/>
  <c r="G31" i="46"/>
  <c r="J26" i="46"/>
  <c r="I26" i="46"/>
  <c r="I25" i="46"/>
  <c r="J24" i="46"/>
  <c r="I23" i="46"/>
  <c r="J22" i="46"/>
  <c r="I17" i="46"/>
  <c r="I11" i="46"/>
  <c r="C41" i="49" l="1"/>
  <c r="C42" i="49" s="1"/>
  <c r="C42" i="50"/>
  <c r="C60" i="50" s="1"/>
  <c r="H8" i="46"/>
  <c r="G8" i="46"/>
  <c r="H10" i="46"/>
  <c r="H45" i="46"/>
  <c r="C41" i="51"/>
  <c r="BO32" i="41"/>
  <c r="L11" i="65" s="1"/>
  <c r="G25" i="46"/>
  <c r="G9" i="46"/>
  <c r="H9" i="46"/>
  <c r="I22" i="46"/>
  <c r="I8" i="46"/>
  <c r="I10" i="46"/>
  <c r="J8" i="46"/>
  <c r="J9" i="46"/>
  <c r="J10" i="46"/>
  <c r="H11" i="46"/>
  <c r="J23" i="46"/>
  <c r="H33" i="46"/>
  <c r="H37" i="46"/>
  <c r="H41" i="46"/>
  <c r="J43" i="46"/>
  <c r="I50" i="46"/>
  <c r="J7" i="46"/>
  <c r="I12" i="46"/>
  <c r="I13" i="46"/>
  <c r="I16" i="46"/>
  <c r="I21" i="46"/>
  <c r="J39" i="46"/>
  <c r="I15" i="46"/>
  <c r="I18" i="46"/>
  <c r="I20" i="46"/>
  <c r="J11" i="46"/>
  <c r="J12" i="46"/>
  <c r="J13" i="46"/>
  <c r="J14" i="46"/>
  <c r="J15" i="46"/>
  <c r="J16" i="46"/>
  <c r="J17" i="46"/>
  <c r="J18" i="46"/>
  <c r="J19" i="46"/>
  <c r="J20" i="46"/>
  <c r="J21" i="46"/>
  <c r="J25" i="46"/>
  <c r="H49" i="46"/>
  <c r="H53" i="46"/>
  <c r="H12" i="46"/>
  <c r="H13" i="46"/>
  <c r="H14" i="46"/>
  <c r="H15" i="46"/>
  <c r="H16" i="46"/>
  <c r="H17" i="46"/>
  <c r="H18" i="46"/>
  <c r="H19" i="46"/>
  <c r="H20" i="46"/>
  <c r="H21" i="46"/>
  <c r="H22" i="46"/>
  <c r="H23" i="46"/>
  <c r="H24" i="46"/>
  <c r="H25" i="46"/>
  <c r="H26" i="46"/>
  <c r="I32" i="46"/>
  <c r="J33" i="46"/>
  <c r="G34" i="46"/>
  <c r="H35" i="46"/>
  <c r="I36" i="46"/>
  <c r="J37" i="46"/>
  <c r="G38" i="46"/>
  <c r="H39" i="46"/>
  <c r="I40" i="46"/>
  <c r="J41" i="46"/>
  <c r="G42" i="46"/>
  <c r="H43" i="46"/>
  <c r="I44" i="46"/>
  <c r="J45" i="46"/>
  <c r="G46" i="46"/>
  <c r="H47" i="46"/>
  <c r="I48" i="46"/>
  <c r="J49" i="46"/>
  <c r="G50" i="46"/>
  <c r="H51" i="46"/>
  <c r="I52" i="46"/>
  <c r="J53" i="46"/>
  <c r="I31" i="46"/>
  <c r="J32" i="46"/>
  <c r="H34" i="46"/>
  <c r="I35" i="46"/>
  <c r="J36" i="46"/>
  <c r="H38" i="46"/>
  <c r="I39" i="46"/>
  <c r="J40" i="46"/>
  <c r="H42" i="46"/>
  <c r="I43" i="46"/>
  <c r="J44" i="46"/>
  <c r="H46" i="46"/>
  <c r="I47" i="46"/>
  <c r="J48" i="46"/>
  <c r="H50" i="46"/>
  <c r="I51" i="46"/>
  <c r="J52" i="46"/>
  <c r="H32" i="46"/>
  <c r="I33" i="46"/>
  <c r="J34" i="46"/>
  <c r="H36" i="46"/>
  <c r="I37" i="46"/>
  <c r="J38" i="46"/>
  <c r="H40" i="46"/>
  <c r="I41" i="46"/>
  <c r="J42" i="46"/>
  <c r="H44" i="46"/>
  <c r="I45" i="46"/>
  <c r="J46" i="46"/>
  <c r="H48" i="46"/>
  <c r="I49" i="46"/>
  <c r="J50" i="46"/>
  <c r="H52" i="46"/>
  <c r="I53" i="46"/>
  <c r="C60" i="49" l="1"/>
  <c r="C59" i="49"/>
  <c r="D42" i="49"/>
  <c r="C59" i="50"/>
  <c r="D42" i="50"/>
  <c r="G27" i="46"/>
  <c r="C58" i="51"/>
  <c r="D41" i="51"/>
  <c r="C59" i="51"/>
  <c r="J54" i="46"/>
  <c r="G54" i="46"/>
  <c r="H27" i="46"/>
  <c r="I38" i="65" s="1"/>
  <c r="I27" i="46"/>
  <c r="M38" i="65" s="1"/>
  <c r="I54" i="46"/>
  <c r="M39" i="65" s="1"/>
  <c r="H54" i="46"/>
  <c r="I39" i="65" s="1"/>
  <c r="J27" i="46"/>
  <c r="G61" i="46" l="1"/>
  <c r="K38" i="65"/>
  <c r="G62" i="46"/>
  <c r="K39" i="65"/>
  <c r="L16" i="65"/>
  <c r="L33" i="65" s="1"/>
  <c r="A12" i="45"/>
  <c r="A13" i="45"/>
  <c r="K13" i="45" s="1"/>
  <c r="A14" i="45"/>
  <c r="K14" i="45" s="1"/>
  <c r="A15" i="45"/>
  <c r="K15" i="45" s="1"/>
  <c r="A16" i="45"/>
  <c r="K16" i="45" s="1"/>
  <c r="A17" i="45"/>
  <c r="K17" i="45" s="1"/>
  <c r="A18" i="45"/>
  <c r="K18" i="45" s="1"/>
  <c r="A19" i="45"/>
  <c r="K19" i="45" s="1"/>
  <c r="A20" i="45"/>
  <c r="A21" i="45"/>
  <c r="K21" i="45" s="1"/>
  <c r="A22" i="45"/>
  <c r="K22" i="45" s="1"/>
  <c r="A23" i="45"/>
  <c r="K23" i="45" s="1"/>
  <c r="A24" i="45"/>
  <c r="K24" i="45" s="1"/>
  <c r="A25" i="45"/>
  <c r="K25" i="45" s="1"/>
  <c r="A26" i="45"/>
  <c r="K26" i="45" s="1"/>
  <c r="A27" i="45"/>
  <c r="K27" i="45" s="1"/>
  <c r="A28" i="45"/>
  <c r="K28" i="45" s="1"/>
  <c r="A29" i="45"/>
  <c r="K29" i="45" s="1"/>
  <c r="A30" i="45"/>
  <c r="K30" i="45" s="1"/>
  <c r="A31" i="45"/>
  <c r="K31" i="45" s="1"/>
  <c r="A32" i="45"/>
  <c r="K32" i="45" s="1"/>
  <c r="A33" i="45"/>
  <c r="K33" i="45" s="1"/>
  <c r="A34" i="45"/>
  <c r="K34" i="45" s="1"/>
  <c r="A35" i="45"/>
  <c r="K35" i="45" s="1"/>
  <c r="A36" i="45"/>
  <c r="K36" i="45" s="1"/>
  <c r="A37" i="45"/>
  <c r="K37" i="45" s="1"/>
  <c r="A38" i="45"/>
  <c r="K38" i="45" s="1"/>
  <c r="A39" i="45"/>
  <c r="K39" i="45" s="1"/>
  <c r="A40" i="45"/>
  <c r="K40" i="45" s="1"/>
  <c r="A41" i="45"/>
  <c r="K41" i="45" s="1"/>
  <c r="A42" i="45"/>
  <c r="K42" i="45" s="1"/>
  <c r="A11" i="45"/>
  <c r="K20" i="45" l="1"/>
  <c r="F20" i="45"/>
  <c r="I37" i="45"/>
  <c r="I29" i="45"/>
  <c r="I21" i="45"/>
  <c r="I13" i="45"/>
  <c r="N13" i="45" s="1"/>
  <c r="J35" i="45"/>
  <c r="J27" i="45"/>
  <c r="J19" i="45"/>
  <c r="I35" i="45"/>
  <c r="I27" i="45"/>
  <c r="I19" i="45"/>
  <c r="J41" i="45"/>
  <c r="J33" i="45"/>
  <c r="J25" i="45"/>
  <c r="J17" i="45"/>
  <c r="I41" i="45"/>
  <c r="I33" i="45"/>
  <c r="I25" i="45"/>
  <c r="I17" i="45"/>
  <c r="J39" i="45"/>
  <c r="J31" i="45"/>
  <c r="J23" i="45"/>
  <c r="J15" i="45"/>
  <c r="I39" i="45"/>
  <c r="I31" i="45"/>
  <c r="I23" i="45"/>
  <c r="I15" i="45"/>
  <c r="N15" i="45" s="1"/>
  <c r="J37" i="45"/>
  <c r="J29" i="45"/>
  <c r="J21" i="45"/>
  <c r="J13" i="45"/>
  <c r="I42" i="45"/>
  <c r="I38" i="45"/>
  <c r="I34" i="45"/>
  <c r="I30" i="45"/>
  <c r="I26" i="45"/>
  <c r="I22" i="45"/>
  <c r="I18" i="45"/>
  <c r="I14" i="45"/>
  <c r="N14" i="45" s="1"/>
  <c r="J40" i="45"/>
  <c r="J36" i="45"/>
  <c r="J32" i="45"/>
  <c r="J28" i="45"/>
  <c r="J24" i="45"/>
  <c r="J20" i="45"/>
  <c r="J16" i="45"/>
  <c r="I40" i="45"/>
  <c r="I36" i="45"/>
  <c r="I32" i="45"/>
  <c r="I28" i="45"/>
  <c r="I24" i="45"/>
  <c r="I20" i="45"/>
  <c r="N20" i="45" s="1"/>
  <c r="I16" i="45"/>
  <c r="J42" i="45"/>
  <c r="J38" i="45"/>
  <c r="J34" i="45"/>
  <c r="J30" i="45"/>
  <c r="J26" i="45"/>
  <c r="J22" i="45"/>
  <c r="J18" i="45"/>
  <c r="J14" i="45"/>
  <c r="J12" i="45"/>
  <c r="I11" i="45"/>
  <c r="N11" i="45" s="1"/>
  <c r="K11" i="45"/>
  <c r="J11" i="45"/>
  <c r="I12" i="45"/>
  <c r="N12" i="45" s="1"/>
  <c r="N32" i="45" l="1"/>
  <c r="N38" i="45"/>
  <c r="N36" i="45"/>
  <c r="N42" i="45"/>
  <c r="N39" i="45"/>
  <c r="N41" i="45"/>
  <c r="N21" i="45"/>
  <c r="N24" i="45"/>
  <c r="N40" i="45"/>
  <c r="N30" i="45"/>
  <c r="N17" i="45"/>
  <c r="N19" i="45"/>
  <c r="N29" i="45"/>
  <c r="N16" i="45"/>
  <c r="N22" i="45"/>
  <c r="N31" i="45"/>
  <c r="N33" i="45"/>
  <c r="N35" i="45"/>
  <c r="N26" i="45"/>
  <c r="N28" i="45"/>
  <c r="N18" i="45"/>
  <c r="N34" i="45"/>
  <c r="N23" i="45"/>
  <c r="N25" i="45"/>
  <c r="N27" i="45"/>
  <c r="N37" i="45"/>
  <c r="F41" i="45"/>
  <c r="R41" i="45" s="1"/>
  <c r="F35" i="45"/>
  <c r="R35" i="45" s="1"/>
  <c r="F33" i="45"/>
  <c r="R33" i="45" s="1"/>
  <c r="F31" i="45"/>
  <c r="R31" i="45" s="1"/>
  <c r="F29" i="45"/>
  <c r="R29" i="45" s="1"/>
  <c r="F27" i="45"/>
  <c r="R27" i="45" s="1"/>
  <c r="F26" i="45"/>
  <c r="R26" i="45" s="1"/>
  <c r="F22" i="45"/>
  <c r="R22" i="45" s="1"/>
  <c r="F19" i="45"/>
  <c r="R19" i="45" s="1"/>
  <c r="F18" i="45"/>
  <c r="R18" i="45" s="1"/>
  <c r="F16" i="45"/>
  <c r="R16" i="45" s="1"/>
  <c r="F12" i="45"/>
  <c r="L6" i="45"/>
  <c r="L5" i="45"/>
  <c r="L4" i="45"/>
  <c r="G11" i="44"/>
  <c r="G10" i="44"/>
  <c r="G9" i="44"/>
  <c r="G8" i="44"/>
  <c r="K12" i="45" s="1"/>
  <c r="Q19" i="45" l="1"/>
  <c r="M29" i="45"/>
  <c r="P35" i="45"/>
  <c r="Q29" i="45"/>
  <c r="Q26" i="45"/>
  <c r="P18" i="45"/>
  <c r="Q27" i="45"/>
  <c r="M41" i="45"/>
  <c r="M27" i="45"/>
  <c r="M35" i="45"/>
  <c r="M33" i="45"/>
  <c r="M22" i="45"/>
  <c r="P33" i="45"/>
  <c r="M16" i="45"/>
  <c r="P27" i="45"/>
  <c r="M26" i="45"/>
  <c r="M31" i="45"/>
  <c r="P22" i="45"/>
  <c r="P19" i="45"/>
  <c r="P41" i="45"/>
  <c r="Q18" i="45"/>
  <c r="P31" i="45"/>
  <c r="Q31" i="45"/>
  <c r="P26" i="45"/>
  <c r="Q35" i="45"/>
  <c r="M18" i="45"/>
  <c r="Q16" i="45"/>
  <c r="P16" i="45"/>
  <c r="P29" i="45"/>
  <c r="M19" i="45"/>
  <c r="Q22" i="45"/>
  <c r="Q41" i="45"/>
  <c r="Q33" i="45"/>
  <c r="Q20" i="45"/>
  <c r="M20" i="45"/>
  <c r="P20" i="45"/>
  <c r="R20" i="45"/>
  <c r="P12" i="45"/>
  <c r="Q12" i="45"/>
  <c r="R12" i="45"/>
  <c r="M12" i="45"/>
  <c r="F13" i="45"/>
  <c r="F30" i="45"/>
  <c r="L43" i="45"/>
  <c r="F15" i="45"/>
  <c r="F17" i="45"/>
  <c r="F24" i="45"/>
  <c r="F34" i="45"/>
  <c r="L7" i="45"/>
  <c r="F11" i="45"/>
  <c r="F14" i="45"/>
  <c r="F23" i="45"/>
  <c r="F21" i="45"/>
  <c r="F28" i="45"/>
  <c r="F37" i="45"/>
  <c r="F25" i="45"/>
  <c r="F40" i="45"/>
  <c r="F32" i="45"/>
  <c r="F38" i="45"/>
  <c r="F36" i="45"/>
  <c r="F39" i="45"/>
  <c r="F42" i="45"/>
  <c r="R37" i="45" l="1"/>
  <c r="Q37" i="45"/>
  <c r="P37" i="45"/>
  <c r="M37" i="45"/>
  <c r="R24" i="45"/>
  <c r="Q24" i="45"/>
  <c r="P24" i="45"/>
  <c r="M24" i="45"/>
  <c r="R32" i="45"/>
  <c r="M32" i="45"/>
  <c r="P32" i="45"/>
  <c r="Q32" i="45"/>
  <c r="R39" i="45"/>
  <c r="M39" i="45"/>
  <c r="Q39" i="45"/>
  <c r="P39" i="45"/>
  <c r="R40" i="45"/>
  <c r="Q40" i="45"/>
  <c r="P40" i="45"/>
  <c r="M40" i="45"/>
  <c r="R21" i="45"/>
  <c r="Q21" i="45"/>
  <c r="P21" i="45"/>
  <c r="M21" i="45"/>
  <c r="R38" i="45"/>
  <c r="M38" i="45"/>
  <c r="P38" i="45"/>
  <c r="Q38" i="45"/>
  <c r="R30" i="45"/>
  <c r="P30" i="45"/>
  <c r="M30" i="45"/>
  <c r="Q30" i="45"/>
  <c r="R42" i="45"/>
  <c r="P42" i="45"/>
  <c r="Q42" i="45"/>
  <c r="M42" i="45"/>
  <c r="R28" i="45"/>
  <c r="Q28" i="45"/>
  <c r="P28" i="45"/>
  <c r="M28" i="45"/>
  <c r="R17" i="45"/>
  <c r="M17" i="45"/>
  <c r="Q17" i="45"/>
  <c r="P17" i="45"/>
  <c r="R36" i="45"/>
  <c r="P36" i="45"/>
  <c r="Q36" i="45"/>
  <c r="M36" i="45"/>
  <c r="R25" i="45"/>
  <c r="Q25" i="45"/>
  <c r="P25" i="45"/>
  <c r="M25" i="45"/>
  <c r="R23" i="45"/>
  <c r="Q23" i="45"/>
  <c r="M23" i="45"/>
  <c r="P23" i="45"/>
  <c r="R34" i="45"/>
  <c r="M34" i="45"/>
  <c r="Q34" i="45"/>
  <c r="P34" i="45"/>
  <c r="Q15" i="45"/>
  <c r="R15" i="45"/>
  <c r="M15" i="45"/>
  <c r="P15" i="45"/>
  <c r="R11" i="45"/>
  <c r="M11" i="45"/>
  <c r="Q11" i="45"/>
  <c r="P11" i="45"/>
  <c r="P13" i="45"/>
  <c r="Q13" i="45"/>
  <c r="R13" i="45"/>
  <c r="M13" i="45"/>
  <c r="R14" i="45"/>
  <c r="P14" i="45"/>
  <c r="Q14" i="45"/>
  <c r="M14" i="45"/>
  <c r="O43" i="45"/>
  <c r="R43" i="45" l="1"/>
  <c r="Q43" i="45"/>
  <c r="P43" i="45"/>
  <c r="I37" i="65" s="1"/>
  <c r="I40" i="65" s="1"/>
  <c r="I35" i="65" s="1"/>
  <c r="N43" i="45"/>
  <c r="G60" i="46" s="1"/>
  <c r="M43" i="45"/>
  <c r="G59" i="46" l="1"/>
  <c r="G64" i="46" s="1"/>
  <c r="G68" i="46" s="1"/>
  <c r="K37" i="65"/>
  <c r="K40" i="65" s="1"/>
  <c r="K35" i="65" s="1"/>
  <c r="M37" i="65"/>
  <c r="M40" i="65" s="1"/>
  <c r="M35" i="65" s="1"/>
  <c r="BK12" i="41"/>
  <c r="BQ12" i="41" s="1"/>
  <c r="BH8" i="41"/>
  <c r="BN8" i="41" s="1"/>
  <c r="V9" i="41"/>
  <c r="V10" i="41"/>
  <c r="V11" i="41"/>
  <c r="V12" i="41"/>
  <c r="V13" i="41"/>
  <c r="V14" i="41"/>
  <c r="V15" i="41"/>
  <c r="V16" i="41"/>
  <c r="V17" i="41"/>
  <c r="V18" i="41"/>
  <c r="V19" i="41"/>
  <c r="V20" i="41"/>
  <c r="V21" i="41"/>
  <c r="V22" i="41"/>
  <c r="V23" i="41"/>
  <c r="V24" i="41"/>
  <c r="V25" i="41"/>
  <c r="V26" i="41"/>
  <c r="V27" i="41"/>
  <c r="V28" i="41"/>
  <c r="V29" i="41"/>
  <c r="V30" i="41"/>
  <c r="V31" i="41"/>
  <c r="CD61" i="41"/>
  <c r="CD60" i="41"/>
  <c r="CD59" i="41"/>
  <c r="CD58" i="41"/>
  <c r="CD57" i="41"/>
  <c r="CD56" i="41"/>
  <c r="CD55" i="41"/>
  <c r="CD54" i="41"/>
  <c r="CD53" i="41"/>
  <c r="CD52" i="41"/>
  <c r="CD51" i="41"/>
  <c r="CD50" i="41"/>
  <c r="CD49" i="41"/>
  <c r="CD48" i="41"/>
  <c r="CD47" i="41"/>
  <c r="CD46" i="41"/>
  <c r="CD45" i="41"/>
  <c r="CD44" i="41"/>
  <c r="CD42" i="41"/>
  <c r="CD41" i="41"/>
  <c r="CD40" i="41"/>
  <c r="CD39" i="41"/>
  <c r="CD38" i="41"/>
  <c r="CD37" i="41"/>
  <c r="CD36" i="41"/>
  <c r="CD35" i="41"/>
  <c r="CD34" i="41"/>
  <c r="CD33" i="41"/>
  <c r="CD32" i="41"/>
  <c r="B32" i="41"/>
  <c r="C11" i="65" s="1"/>
  <c r="CD31" i="41"/>
  <c r="BU31" i="41"/>
  <c r="BT31" i="41"/>
  <c r="S31" i="41"/>
  <c r="T31" i="41" s="1"/>
  <c r="O31" i="41"/>
  <c r="L31" i="41"/>
  <c r="K31" i="41"/>
  <c r="I31" i="41"/>
  <c r="E31" i="41"/>
  <c r="D31" i="41"/>
  <c r="CD30" i="41"/>
  <c r="BU30" i="41"/>
  <c r="BT30" i="41"/>
  <c r="S30" i="41"/>
  <c r="T30" i="41" s="1"/>
  <c r="O30" i="41"/>
  <c r="L30" i="41"/>
  <c r="K30" i="41"/>
  <c r="I30" i="41"/>
  <c r="E30" i="41"/>
  <c r="D30" i="41"/>
  <c r="CD29" i="41"/>
  <c r="BU29" i="41"/>
  <c r="BT29" i="41"/>
  <c r="S29" i="41"/>
  <c r="T29" i="41" s="1"/>
  <c r="O29" i="41"/>
  <c r="L29" i="41"/>
  <c r="K29" i="41"/>
  <c r="I29" i="41"/>
  <c r="E29" i="41"/>
  <c r="D29" i="41"/>
  <c r="CD28" i="41"/>
  <c r="BU28" i="41"/>
  <c r="BT28" i="41"/>
  <c r="S28" i="41"/>
  <c r="T28" i="41" s="1"/>
  <c r="O28" i="41"/>
  <c r="L28" i="41"/>
  <c r="K28" i="41"/>
  <c r="I28" i="41"/>
  <c r="E28" i="41"/>
  <c r="D28" i="41"/>
  <c r="CD27" i="41"/>
  <c r="BU27" i="41"/>
  <c r="BT27" i="41"/>
  <c r="S27" i="41"/>
  <c r="T27" i="41" s="1"/>
  <c r="O27" i="41"/>
  <c r="L27" i="41"/>
  <c r="K27" i="41"/>
  <c r="I27" i="41"/>
  <c r="E27" i="41"/>
  <c r="D27" i="41"/>
  <c r="CD26" i="41"/>
  <c r="BU26" i="41"/>
  <c r="BT26" i="41"/>
  <c r="S26" i="41"/>
  <c r="T26" i="41" s="1"/>
  <c r="O26" i="41"/>
  <c r="L26" i="41"/>
  <c r="K26" i="41"/>
  <c r="I26" i="41"/>
  <c r="E26" i="41"/>
  <c r="D26" i="41"/>
  <c r="CD25" i="41"/>
  <c r="BU25" i="41"/>
  <c r="BT25" i="41"/>
  <c r="S25" i="41"/>
  <c r="T25" i="41" s="1"/>
  <c r="O25" i="41"/>
  <c r="L25" i="41"/>
  <c r="K25" i="41"/>
  <c r="I25" i="41"/>
  <c r="E25" i="41"/>
  <c r="D25" i="41"/>
  <c r="CD24" i="41"/>
  <c r="BU24" i="41"/>
  <c r="BT24" i="41"/>
  <c r="S24" i="41"/>
  <c r="T24" i="41" s="1"/>
  <c r="O24" i="41"/>
  <c r="L24" i="41"/>
  <c r="K24" i="41"/>
  <c r="I24" i="41"/>
  <c r="E24" i="41"/>
  <c r="D24" i="41"/>
  <c r="CD23" i="41"/>
  <c r="BU23" i="41"/>
  <c r="BT23" i="41"/>
  <c r="S23" i="41"/>
  <c r="T23" i="41" s="1"/>
  <c r="O23" i="41"/>
  <c r="L23" i="41"/>
  <c r="K23" i="41"/>
  <c r="I23" i="41"/>
  <c r="E23" i="41"/>
  <c r="D23" i="41"/>
  <c r="CD22" i="41"/>
  <c r="BU22" i="41"/>
  <c r="BT22" i="41"/>
  <c r="S22" i="41"/>
  <c r="T22" i="41" s="1"/>
  <c r="O22" i="41"/>
  <c r="L22" i="41"/>
  <c r="K22" i="41"/>
  <c r="I22" i="41"/>
  <c r="E22" i="41"/>
  <c r="D22" i="41"/>
  <c r="CD21" i="41"/>
  <c r="BU21" i="41"/>
  <c r="BT21" i="41"/>
  <c r="S21" i="41"/>
  <c r="T21" i="41" s="1"/>
  <c r="O21" i="41"/>
  <c r="L21" i="41"/>
  <c r="K21" i="41"/>
  <c r="I21" i="41"/>
  <c r="E21" i="41"/>
  <c r="D21" i="41"/>
  <c r="CD20" i="41"/>
  <c r="BU20" i="41"/>
  <c r="BT20" i="41"/>
  <c r="S20" i="41"/>
  <c r="T20" i="41" s="1"/>
  <c r="O20" i="41"/>
  <c r="L20" i="41"/>
  <c r="K20" i="41"/>
  <c r="I20" i="41"/>
  <c r="E20" i="41"/>
  <c r="D20" i="41"/>
  <c r="CD19" i="41"/>
  <c r="BU19" i="41"/>
  <c r="BT19" i="41"/>
  <c r="S19" i="41"/>
  <c r="T19" i="41" s="1"/>
  <c r="O19" i="41"/>
  <c r="L19" i="41"/>
  <c r="K19" i="41"/>
  <c r="I19" i="41"/>
  <c r="E19" i="41"/>
  <c r="D19" i="41"/>
  <c r="CD18" i="41"/>
  <c r="BU18" i="41"/>
  <c r="BT18" i="41"/>
  <c r="S18" i="41"/>
  <c r="T18" i="41" s="1"/>
  <c r="O18" i="41"/>
  <c r="L18" i="41"/>
  <c r="K18" i="41"/>
  <c r="I18" i="41"/>
  <c r="E18" i="41"/>
  <c r="D18" i="41"/>
  <c r="CD17" i="41"/>
  <c r="BU17" i="41"/>
  <c r="BT17" i="41"/>
  <c r="S17" i="41"/>
  <c r="T17" i="41" s="1"/>
  <c r="O17" i="41"/>
  <c r="L17" i="41"/>
  <c r="K17" i="41"/>
  <c r="I17" i="41"/>
  <c r="E17" i="41"/>
  <c r="D17" i="41"/>
  <c r="BU16" i="41"/>
  <c r="BT16" i="41"/>
  <c r="S16" i="41"/>
  <c r="T16" i="41" s="1"/>
  <c r="O16" i="41"/>
  <c r="L16" i="41"/>
  <c r="K16" i="41"/>
  <c r="I16" i="41"/>
  <c r="E16" i="41"/>
  <c r="D16" i="41"/>
  <c r="CD15" i="41"/>
  <c r="BU15" i="41"/>
  <c r="BT15" i="41"/>
  <c r="S15" i="41"/>
  <c r="T15" i="41" s="1"/>
  <c r="O15" i="41"/>
  <c r="L15" i="41"/>
  <c r="K15" i="41"/>
  <c r="I15" i="41"/>
  <c r="E15" i="41"/>
  <c r="D15" i="41"/>
  <c r="CD14" i="41"/>
  <c r="BU14" i="41"/>
  <c r="BT14" i="41"/>
  <c r="S14" i="41"/>
  <c r="T14" i="41" s="1"/>
  <c r="O14" i="41"/>
  <c r="L14" i="41"/>
  <c r="K14" i="41"/>
  <c r="I14" i="41"/>
  <c r="E14" i="41"/>
  <c r="D14" i="41"/>
  <c r="CD13" i="41"/>
  <c r="BU13" i="41"/>
  <c r="BT13" i="41"/>
  <c r="S13" i="41"/>
  <c r="T13" i="41" s="1"/>
  <c r="O13" i="41"/>
  <c r="L13" i="41"/>
  <c r="K13" i="41"/>
  <c r="I13" i="41"/>
  <c r="E13" i="41"/>
  <c r="D13" i="41"/>
  <c r="CD12" i="41"/>
  <c r="BU12" i="41"/>
  <c r="BT12" i="41"/>
  <c r="S12" i="41"/>
  <c r="T12" i="41" s="1"/>
  <c r="O12" i="41"/>
  <c r="L12" i="41"/>
  <c r="K12" i="41"/>
  <c r="I12" i="41"/>
  <c r="E12" i="41"/>
  <c r="D12" i="41"/>
  <c r="CD11" i="41"/>
  <c r="BU11" i="41"/>
  <c r="BT11" i="41"/>
  <c r="S11" i="41"/>
  <c r="T11" i="41" s="1"/>
  <c r="O11" i="41"/>
  <c r="L11" i="41"/>
  <c r="K11" i="41"/>
  <c r="I11" i="41"/>
  <c r="E11" i="41"/>
  <c r="CD10" i="41"/>
  <c r="BU10" i="41"/>
  <c r="BT10" i="41"/>
  <c r="S10" i="41"/>
  <c r="T10" i="41" s="1"/>
  <c r="O10" i="41"/>
  <c r="L10" i="41"/>
  <c r="K10" i="41"/>
  <c r="I10" i="41"/>
  <c r="E10" i="41"/>
  <c r="CD9" i="41"/>
  <c r="BU9" i="41"/>
  <c r="BT9" i="41"/>
  <c r="S9" i="41"/>
  <c r="T9" i="41" s="1"/>
  <c r="O9" i="41"/>
  <c r="L9" i="41"/>
  <c r="K9" i="41"/>
  <c r="I9" i="41"/>
  <c r="E9" i="41"/>
  <c r="CD8" i="41"/>
  <c r="BU8" i="41"/>
  <c r="BT8" i="41"/>
  <c r="S8" i="41"/>
  <c r="T8" i="41" s="1"/>
  <c r="O8" i="41"/>
  <c r="L8" i="41"/>
  <c r="K8" i="41"/>
  <c r="I8" i="41"/>
  <c r="E8" i="41"/>
  <c r="D8" i="41"/>
  <c r="CD7" i="41"/>
  <c r="CD6" i="41"/>
  <c r="CD5" i="41"/>
  <c r="CD4" i="41"/>
  <c r="CD3" i="41"/>
  <c r="O11" i="65" l="1"/>
  <c r="Q11" i="65"/>
  <c r="BM33" i="41"/>
  <c r="BG33" i="41" s="1"/>
  <c r="BP33" i="41"/>
  <c r="BJ33" i="41" s="1"/>
  <c r="BO33" i="41"/>
  <c r="BI33" i="41" s="1"/>
  <c r="BK28" i="41"/>
  <c r="BQ28" i="41" s="1"/>
  <c r="BK24" i="41"/>
  <c r="BQ24" i="41" s="1"/>
  <c r="BK20" i="41"/>
  <c r="BQ20" i="41" s="1"/>
  <c r="BK16" i="41"/>
  <c r="BQ16" i="41" s="1"/>
  <c r="BH28" i="41"/>
  <c r="BN28" i="41" s="1"/>
  <c r="BH24" i="41"/>
  <c r="BN24" i="41" s="1"/>
  <c r="BH20" i="41"/>
  <c r="BN20" i="41" s="1"/>
  <c r="BH16" i="41"/>
  <c r="BN16" i="41" s="1"/>
  <c r="BH12" i="41"/>
  <c r="BN12" i="41" s="1"/>
  <c r="BK8" i="41"/>
  <c r="BQ8" i="41" s="1"/>
  <c r="BH29" i="41"/>
  <c r="BN29" i="41" s="1"/>
  <c r="BH25" i="41"/>
  <c r="BN25" i="41" s="1"/>
  <c r="BH21" i="41"/>
  <c r="BN21" i="41" s="1"/>
  <c r="BH17" i="41"/>
  <c r="BN17" i="41" s="1"/>
  <c r="BH13" i="41"/>
  <c r="BN13" i="41" s="1"/>
  <c r="BH9" i="41"/>
  <c r="BN9" i="41" s="1"/>
  <c r="BK31" i="41"/>
  <c r="BQ31" i="41" s="1"/>
  <c r="BK27" i="41"/>
  <c r="BQ27" i="41" s="1"/>
  <c r="BK23" i="41"/>
  <c r="BQ23" i="41" s="1"/>
  <c r="BK15" i="41"/>
  <c r="BQ15" i="41" s="1"/>
  <c r="BK11" i="41"/>
  <c r="BQ11" i="41" s="1"/>
  <c r="BK29" i="41"/>
  <c r="BQ29" i="41" s="1"/>
  <c r="BK25" i="41"/>
  <c r="BQ25" i="41" s="1"/>
  <c r="BK21" i="41"/>
  <c r="BQ21" i="41" s="1"/>
  <c r="BK17" i="41"/>
  <c r="BQ17" i="41" s="1"/>
  <c r="BK13" i="41"/>
  <c r="BQ13" i="41" s="1"/>
  <c r="BK9" i="41"/>
  <c r="BQ9" i="41" s="1"/>
  <c r="BH31" i="41"/>
  <c r="BN31" i="41" s="1"/>
  <c r="BH27" i="41"/>
  <c r="BN27" i="41" s="1"/>
  <c r="BH23" i="41"/>
  <c r="BN23" i="41" s="1"/>
  <c r="BH19" i="41"/>
  <c r="BN19" i="41" s="1"/>
  <c r="BH15" i="41"/>
  <c r="BN15" i="41" s="1"/>
  <c r="BH11" i="41"/>
  <c r="BN11" i="41" s="1"/>
  <c r="BK30" i="41"/>
  <c r="BQ30" i="41" s="1"/>
  <c r="BK26" i="41"/>
  <c r="BQ26" i="41" s="1"/>
  <c r="BK22" i="41"/>
  <c r="BQ22" i="41" s="1"/>
  <c r="BK18" i="41"/>
  <c r="BQ18" i="41" s="1"/>
  <c r="BK14" i="41"/>
  <c r="BQ14" i="41" s="1"/>
  <c r="BH30" i="41"/>
  <c r="BN30" i="41" s="1"/>
  <c r="BH26" i="41"/>
  <c r="BN26" i="41" s="1"/>
  <c r="BH22" i="41"/>
  <c r="BN22" i="41" s="1"/>
  <c r="BH18" i="41"/>
  <c r="BN18" i="41" s="1"/>
  <c r="BH14" i="41"/>
  <c r="BN14" i="41" s="1"/>
  <c r="BH10" i="41"/>
  <c r="BN10" i="41" s="1"/>
  <c r="G24" i="41"/>
  <c r="Q24" i="41" s="1"/>
  <c r="R24" i="41" s="1"/>
  <c r="BK19" i="41"/>
  <c r="BQ19" i="41" s="1"/>
  <c r="G14" i="41"/>
  <c r="Q14" i="41" s="1"/>
  <c r="R14" i="41" s="1"/>
  <c r="G16" i="41"/>
  <c r="Q16" i="41" s="1"/>
  <c r="R16" i="41" s="1"/>
  <c r="G26" i="41"/>
  <c r="Q26" i="41" s="1"/>
  <c r="R26" i="41" s="1"/>
  <c r="G29" i="41"/>
  <c r="Q29" i="41" s="1"/>
  <c r="R29" i="41" s="1"/>
  <c r="G20" i="41"/>
  <c r="Q20" i="41" s="1"/>
  <c r="R20" i="41" s="1"/>
  <c r="G22" i="41"/>
  <c r="Q22" i="41" s="1"/>
  <c r="R22" i="41" s="1"/>
  <c r="G30" i="41"/>
  <c r="Q30" i="41" s="1"/>
  <c r="R30" i="41" s="1"/>
  <c r="G9" i="41"/>
  <c r="Q9" i="41" s="1"/>
  <c r="R9" i="41" s="1"/>
  <c r="G11" i="41"/>
  <c r="Q11" i="41" s="1"/>
  <c r="R11" i="41" s="1"/>
  <c r="G19" i="41"/>
  <c r="Q19" i="41" s="1"/>
  <c r="R19" i="41" s="1"/>
  <c r="G27" i="41"/>
  <c r="Q27" i="41" s="1"/>
  <c r="R27" i="41" s="1"/>
  <c r="G8" i="41"/>
  <c r="Q8" i="41" s="1"/>
  <c r="R8" i="41" s="1"/>
  <c r="G12" i="41"/>
  <c r="Q12" i="41" s="1"/>
  <c r="R12" i="41" s="1"/>
  <c r="G18" i="41"/>
  <c r="Q18" i="41" s="1"/>
  <c r="R18" i="41" s="1"/>
  <c r="G23" i="41"/>
  <c r="Q23" i="41" s="1"/>
  <c r="R23" i="41" s="1"/>
  <c r="G28" i="41"/>
  <c r="Q28" i="41" s="1"/>
  <c r="R28" i="41" s="1"/>
  <c r="G31" i="41"/>
  <c r="Q31" i="41" s="1"/>
  <c r="R31" i="41" s="1"/>
  <c r="G10" i="41"/>
  <c r="Q10" i="41" s="1"/>
  <c r="R10" i="41" s="1"/>
  <c r="G15" i="41"/>
  <c r="Q15" i="41" s="1"/>
  <c r="R15" i="41" s="1"/>
  <c r="G17" i="41"/>
  <c r="Q17" i="41" s="1"/>
  <c r="R17" i="41" s="1"/>
  <c r="G25" i="41"/>
  <c r="Q25" i="41" s="1"/>
  <c r="R25" i="41" s="1"/>
  <c r="G13" i="41"/>
  <c r="Q13" i="41" s="1"/>
  <c r="R13" i="41" s="1"/>
  <c r="G21" i="41"/>
  <c r="Q21" i="41" s="1"/>
  <c r="R21" i="41" s="1"/>
  <c r="T32" i="41"/>
  <c r="E11" i="65" s="1"/>
  <c r="C53" i="40"/>
  <c r="C58" i="40"/>
  <c r="C59" i="40" s="1"/>
  <c r="C57" i="40"/>
  <c r="D57" i="40" s="1"/>
  <c r="C37" i="40"/>
  <c r="B36" i="40"/>
  <c r="C34" i="40"/>
  <c r="C35" i="40" s="1"/>
  <c r="C33" i="40"/>
  <c r="C32" i="40"/>
  <c r="D25" i="40"/>
  <c r="D26" i="40" s="1"/>
  <c r="C25" i="40"/>
  <c r="C26" i="40" s="1"/>
  <c r="C18" i="40"/>
  <c r="E17" i="40"/>
  <c r="C16" i="40"/>
  <c r="C15" i="40"/>
  <c r="C11" i="40"/>
  <c r="C10" i="40"/>
  <c r="C8" i="40"/>
  <c r="C16" i="65" l="1"/>
  <c r="K17" i="65" s="1"/>
  <c r="G11" i="65"/>
  <c r="R32" i="41"/>
  <c r="D11" i="65" s="1"/>
  <c r="F11" i="65" s="1"/>
  <c r="BQ32" i="41"/>
  <c r="C23" i="40"/>
  <c r="C24" i="40"/>
  <c r="C19" i="40"/>
  <c r="C63" i="40" s="1"/>
  <c r="D23" i="40"/>
  <c r="B43" i="40"/>
  <c r="B41" i="40" s="1"/>
  <c r="C41" i="40" s="1"/>
  <c r="D24" i="40"/>
  <c r="M11" i="65" l="1"/>
  <c r="R11" i="65" s="1"/>
  <c r="I66" i="46"/>
  <c r="G66" i="46" s="1"/>
  <c r="C32" i="65"/>
  <c r="O16" i="65"/>
  <c r="BQ33" i="41"/>
  <c r="BK33" i="41" s="1"/>
  <c r="P16" i="65"/>
  <c r="Q16" i="65"/>
  <c r="BN32" i="41"/>
  <c r="B40" i="40"/>
  <c r="C40" i="40" s="1"/>
  <c r="B42" i="40"/>
  <c r="C42" i="40" s="1"/>
  <c r="C46" i="40"/>
  <c r="C54" i="40" s="1"/>
  <c r="C62" i="40"/>
  <c r="I11" i="65" l="1"/>
  <c r="N11" i="65" s="1"/>
  <c r="R35" i="65"/>
  <c r="P35" i="65"/>
  <c r="N35" i="65"/>
  <c r="M16" i="65"/>
  <c r="BN33" i="41"/>
  <c r="BH33" i="41" s="1"/>
  <c r="D16" i="65"/>
  <c r="C43" i="40"/>
  <c r="C60" i="40" s="1"/>
  <c r="O17" i="65" l="1"/>
  <c r="N17" i="65"/>
  <c r="J17" i="65"/>
  <c r="D33" i="65"/>
  <c r="D36" i="65" s="1"/>
  <c r="R16" i="65"/>
  <c r="M33" i="65"/>
  <c r="I16" i="65"/>
  <c r="F16" i="65"/>
  <c r="C61" i="40"/>
  <c r="D43" i="40"/>
  <c r="N16" i="65" l="1"/>
  <c r="I33" i="65"/>
  <c r="M39" i="36"/>
  <c r="N39" i="36"/>
  <c r="O39" i="36"/>
  <c r="M40" i="36"/>
  <c r="N40" i="36"/>
  <c r="O40" i="36"/>
  <c r="M41" i="36"/>
  <c r="N41" i="36"/>
  <c r="O41" i="36"/>
  <c r="M42" i="36"/>
  <c r="N42" i="36"/>
  <c r="O42" i="36"/>
  <c r="M43" i="36"/>
  <c r="N43" i="36"/>
  <c r="O43" i="36"/>
  <c r="O38" i="36"/>
  <c r="N38" i="36"/>
  <c r="M38" i="36"/>
  <c r="M27" i="36"/>
  <c r="N27" i="36"/>
  <c r="O27" i="36"/>
  <c r="M28" i="36"/>
  <c r="N28" i="36"/>
  <c r="O28" i="36"/>
  <c r="M29" i="36"/>
  <c r="N29" i="36"/>
  <c r="O29" i="36"/>
  <c r="M30" i="36"/>
  <c r="N30" i="36"/>
  <c r="O30" i="36"/>
  <c r="O26" i="36"/>
  <c r="N26" i="36"/>
  <c r="M26" i="36"/>
  <c r="M16" i="36"/>
  <c r="N16" i="36"/>
  <c r="O16" i="36"/>
  <c r="M17" i="36"/>
  <c r="N17" i="36"/>
  <c r="O17" i="36"/>
  <c r="M18" i="36"/>
  <c r="N18" i="36"/>
  <c r="O18" i="36"/>
  <c r="O15" i="36"/>
  <c r="N15" i="36"/>
  <c r="M15" i="36"/>
  <c r="M6" i="36"/>
  <c r="N6" i="36"/>
  <c r="O6" i="36"/>
  <c r="M7" i="36"/>
  <c r="N7" i="36"/>
  <c r="O7" i="36"/>
  <c r="O5" i="36"/>
  <c r="N5" i="36"/>
  <c r="M5" i="36"/>
  <c r="O33" i="36"/>
  <c r="M10" i="36"/>
  <c r="G33" i="36"/>
  <c r="E10" i="36"/>
  <c r="E43" i="36"/>
  <c r="F43" i="36"/>
  <c r="G43" i="36"/>
  <c r="G42" i="36"/>
  <c r="F42" i="36"/>
  <c r="E42" i="36"/>
  <c r="G41" i="36"/>
  <c r="F41" i="36"/>
  <c r="E41" i="36"/>
  <c r="G40" i="36"/>
  <c r="F40" i="36"/>
  <c r="E40" i="36"/>
  <c r="G39" i="36"/>
  <c r="F39" i="36"/>
  <c r="E39" i="36"/>
  <c r="G38" i="36"/>
  <c r="F38" i="36"/>
  <c r="E38" i="36"/>
  <c r="E30" i="36"/>
  <c r="F30" i="36"/>
  <c r="G30" i="36"/>
  <c r="G29" i="36"/>
  <c r="F29" i="36"/>
  <c r="E29" i="36"/>
  <c r="G28" i="36"/>
  <c r="F28" i="36"/>
  <c r="E28" i="36"/>
  <c r="G27" i="36"/>
  <c r="F27" i="36"/>
  <c r="E27" i="36"/>
  <c r="G26" i="36"/>
  <c r="F26" i="36"/>
  <c r="E26" i="36"/>
  <c r="E18" i="36"/>
  <c r="F18" i="36"/>
  <c r="G18" i="36"/>
  <c r="F6" i="36"/>
  <c r="G6" i="36"/>
  <c r="F7" i="36"/>
  <c r="G7" i="36"/>
  <c r="F15" i="36"/>
  <c r="G15" i="36"/>
  <c r="F16" i="36"/>
  <c r="G16" i="36"/>
  <c r="F17" i="36"/>
  <c r="G17" i="36"/>
  <c r="G5" i="36"/>
  <c r="F5" i="36"/>
  <c r="E6" i="36"/>
  <c r="E7" i="36"/>
  <c r="E15" i="36"/>
  <c r="E16" i="36"/>
  <c r="E17" i="36"/>
  <c r="E5" i="36"/>
  <c r="M44" i="36" l="1"/>
  <c r="M46" i="36" s="1"/>
  <c r="N44" i="36"/>
  <c r="N46" i="36" s="1"/>
  <c r="O44" i="36"/>
  <c r="O46" i="36" s="1"/>
  <c r="M31" i="36"/>
  <c r="M33" i="36" s="1"/>
  <c r="N31" i="36"/>
  <c r="N33" i="36" s="1"/>
  <c r="O31" i="36"/>
  <c r="M19" i="36"/>
  <c r="M21" i="36" s="1"/>
  <c r="N19" i="36"/>
  <c r="N21" i="36" s="1"/>
  <c r="O19" i="36"/>
  <c r="O21" i="36" s="1"/>
  <c r="N8" i="36"/>
  <c r="N10" i="36" s="1"/>
  <c r="M8" i="36"/>
  <c r="O8" i="36"/>
  <c r="O10" i="36" s="1"/>
  <c r="E8" i="36"/>
  <c r="E44" i="36"/>
  <c r="E46" i="36" s="1"/>
  <c r="G8" i="36"/>
  <c r="G10" i="36" s="1"/>
  <c r="E19" i="36"/>
  <c r="E21" i="36" s="1"/>
  <c r="F19" i="36"/>
  <c r="F21" i="36" s="1"/>
  <c r="F8" i="36"/>
  <c r="F10" i="36" s="1"/>
  <c r="E31" i="36"/>
  <c r="E33" i="36" s="1"/>
  <c r="G31" i="36"/>
  <c r="F44" i="36"/>
  <c r="F46" i="36" s="1"/>
  <c r="G44" i="36"/>
  <c r="G46" i="36" s="1"/>
  <c r="F31" i="36"/>
  <c r="F33" i="36" s="1"/>
  <c r="G19" i="36"/>
  <c r="G21" i="36" s="1"/>
  <c r="E15" i="65" l="1"/>
  <c r="E16" i="65" l="1"/>
  <c r="E36" i="65" s="1"/>
  <c r="G15" i="65"/>
  <c r="E33" i="65" l="1"/>
  <c r="G16" i="65"/>
  <c r="I17" i="65"/>
</calcChain>
</file>

<file path=xl/sharedStrings.xml><?xml version="1.0" encoding="utf-8"?>
<sst xmlns="http://schemas.openxmlformats.org/spreadsheetml/2006/main" count="8373" uniqueCount="1310">
  <si>
    <t>Winterweizen</t>
  </si>
  <si>
    <t>Sortentyp</t>
  </si>
  <si>
    <t>C</t>
  </si>
  <si>
    <t>E</t>
  </si>
  <si>
    <t>kg N/ha</t>
  </si>
  <si>
    <t>Abschlag in kg N/ha</t>
  </si>
  <si>
    <t>Vorfrucht</t>
  </si>
  <si>
    <t>Feldgras</t>
  </si>
  <si>
    <t>Zwischenfrucht</t>
  </si>
  <si>
    <t>Futter-Nichtleguminose</t>
  </si>
  <si>
    <t>Futterleguminose</t>
  </si>
  <si>
    <t>% RP</t>
  </si>
  <si>
    <t>kg Korn-N/ha</t>
  </si>
  <si>
    <t>kg Stroh-N/ha</t>
  </si>
  <si>
    <t>Korn:Stroh = 1:</t>
  </si>
  <si>
    <t>A oder B</t>
  </si>
  <si>
    <t>Hafer</t>
  </si>
  <si>
    <t>Luzerne, Klee, Kleegras</t>
  </si>
  <si>
    <t>Grünland, Dauerbrache</t>
  </si>
  <si>
    <t>Rot.brache ohne Legumin.</t>
  </si>
  <si>
    <t>Rot.brache mit Legumin.</t>
  </si>
  <si>
    <t>Kohlgemüse</t>
  </si>
  <si>
    <t>Raps, Körnerlegumin.</t>
  </si>
  <si>
    <t>Kartoffeln, Nicht-Kohl-Gemüse</t>
  </si>
  <si>
    <t>10 % vom aufgebrachten Ges.-N</t>
  </si>
  <si>
    <t>abgefrorene Nichtleguminose</t>
  </si>
  <si>
    <t>Herbst-eingearbeit. Nichtlegumin.</t>
  </si>
  <si>
    <t>Frühjahr-eingearbeit. Nichtlegumin.</t>
  </si>
  <si>
    <t>abgefrorene Leguminose</t>
  </si>
  <si>
    <t>Herbst-eingearbeit. Leguminose</t>
  </si>
  <si>
    <t>Frühjahr-eingearbeit. Leguminose</t>
  </si>
  <si>
    <t>keine</t>
  </si>
  <si>
    <t>Qualität</t>
  </si>
  <si>
    <t>dt/ha</t>
  </si>
  <si>
    <t>Eingabefelder</t>
  </si>
  <si>
    <t>Ackerzahl</t>
  </si>
  <si>
    <t>dropdown-Auswahl</t>
  </si>
  <si>
    <t>ertragsabhängiger Bedarfswert</t>
  </si>
  <si>
    <r>
      <t>N</t>
    </r>
    <r>
      <rPr>
        <b/>
        <vertAlign val="subscript"/>
        <sz val="11"/>
        <color theme="1"/>
        <rFont val="Calibri"/>
        <family val="2"/>
        <scheme val="minor"/>
      </rPr>
      <t xml:space="preserve">min </t>
    </r>
    <r>
      <rPr>
        <b/>
        <sz val="11"/>
        <color theme="1"/>
        <rFont val="Calibri"/>
        <family val="2"/>
        <scheme val="minor"/>
      </rPr>
      <t xml:space="preserve">   0 - 30 cm</t>
    </r>
  </si>
  <si>
    <r>
      <t>N</t>
    </r>
    <r>
      <rPr>
        <b/>
        <vertAlign val="subscript"/>
        <sz val="11"/>
        <color theme="1"/>
        <rFont val="Calibri"/>
        <family val="2"/>
        <scheme val="minor"/>
      </rPr>
      <t>min</t>
    </r>
    <r>
      <rPr>
        <b/>
        <sz val="11"/>
        <color theme="1"/>
        <rFont val="Calibri"/>
        <family val="2"/>
        <scheme val="minor"/>
      </rPr>
      <t xml:space="preserve"> 30 - 60 cm</t>
    </r>
  </si>
  <si>
    <r>
      <t>N</t>
    </r>
    <r>
      <rPr>
        <b/>
        <vertAlign val="subscript"/>
        <sz val="11"/>
        <color theme="1"/>
        <rFont val="Calibri"/>
        <family val="2"/>
        <scheme val="minor"/>
      </rPr>
      <t>min</t>
    </r>
    <r>
      <rPr>
        <b/>
        <sz val="11"/>
        <color theme="1"/>
        <rFont val="Calibri"/>
        <family val="2"/>
        <scheme val="minor"/>
      </rPr>
      <t xml:space="preserve"> 60 - 90 cm</t>
    </r>
  </si>
  <si>
    <t>Sommergerste</t>
  </si>
  <si>
    <t>Obergrenze gemäß Düngeverordnung</t>
  </si>
  <si>
    <t>N-Nachlieferung bzw.</t>
  </si>
  <si>
    <t>bessere N-Verwertung</t>
  </si>
  <si>
    <t>AZ</t>
  </si>
  <si>
    <t>langj. organ. Düngung in GV/ha</t>
  </si>
  <si>
    <t>(1 GV = 80 - 100 kg Gesamt-N)</t>
  </si>
  <si>
    <t>HTK</t>
  </si>
  <si>
    <t>vorwiegende Form langjähriger organischer Düngung</t>
  </si>
  <si>
    <t>Faktor</t>
  </si>
  <si>
    <t>vorw. Form langj. organ. Düngung</t>
  </si>
  <si>
    <t>N-Düngeempfehlung</t>
  </si>
  <si>
    <t>Frühsommerhitze, hohe RP-Gehalte</t>
  </si>
  <si>
    <t>normal</t>
  </si>
  <si>
    <t>kühl-feuchte Abreife; niedrige RP-Gehalte</t>
  </si>
  <si>
    <t>Abreife und RP-Gehalt</t>
  </si>
  <si>
    <t>Ertragsabhängige N-Sollwerte</t>
  </si>
  <si>
    <t xml:space="preserve">auf Sandböden ggf. aufteilen </t>
  </si>
  <si>
    <r>
      <t>in einer N-Gabe</t>
    </r>
    <r>
      <rPr>
        <vertAlign val="subscript"/>
        <sz val="11"/>
        <color theme="1"/>
        <rFont val="Calibri"/>
        <family val="2"/>
        <scheme val="minor"/>
      </rPr>
      <t xml:space="preserve"> (zur Saat)</t>
    </r>
  </si>
  <si>
    <t>N-Verwertung</t>
  </si>
  <si>
    <r>
      <t>1. N-Gabe</t>
    </r>
    <r>
      <rPr>
        <b/>
        <vertAlign val="subscript"/>
        <sz val="12"/>
        <rFont val="Calibri"/>
        <family val="2"/>
        <scheme val="minor"/>
      </rPr>
      <t xml:space="preserve"> (Veg.beginn)</t>
    </r>
  </si>
  <si>
    <r>
      <t>2. N-Gabe</t>
    </r>
    <r>
      <rPr>
        <b/>
        <vertAlign val="subscript"/>
        <sz val="12"/>
        <rFont val="Calibri"/>
        <family val="2"/>
        <scheme val="minor"/>
      </rPr>
      <t xml:space="preserve"> (Schossbeginn)</t>
    </r>
  </si>
  <si>
    <r>
      <t>3. N-Gabe</t>
    </r>
    <r>
      <rPr>
        <b/>
        <vertAlign val="subscript"/>
        <sz val="12"/>
        <rFont val="Calibri"/>
        <family val="2"/>
        <scheme val="minor"/>
      </rPr>
      <t xml:space="preserve"> (Fahnenblatt)</t>
    </r>
  </si>
  <si>
    <t>weitere berücksichtigte Faktoren</t>
  </si>
  <si>
    <t>kg N-Saldo/ha (Kornernte)</t>
  </si>
  <si>
    <t>kg N-Saldo/ha (Korn- + Strohernte)</t>
  </si>
  <si>
    <t>bezogen auf die N-Obergrenze</t>
  </si>
  <si>
    <t>bezogen auf die Empfehlung</t>
  </si>
  <si>
    <t>Witterung</t>
  </si>
  <si>
    <t>kg N/ha verschieben von N2 auf N1</t>
  </si>
  <si>
    <t>Silomais</t>
  </si>
  <si>
    <t>kg N-Saldo/ha</t>
  </si>
  <si>
    <t>% RP in TM</t>
  </si>
  <si>
    <t>kg Erntegut-N/ha</t>
  </si>
  <si>
    <t>Zielertrag FM dt/ha</t>
  </si>
  <si>
    <t>= N-Abfuhr</t>
  </si>
  <si>
    <t>Bezug: TM-Ertrag</t>
  </si>
  <si>
    <t>Standard = 7,4</t>
  </si>
  <si>
    <t>Nachlieferung Boden</t>
  </si>
  <si>
    <t>Hochmoor</t>
  </si>
  <si>
    <t>Niedermoor</t>
  </si>
  <si>
    <t>Nachlieferung aus Bodenvorrat</t>
  </si>
  <si>
    <t>N-Bindung Leguminosen</t>
  </si>
  <si>
    <t>N-Bindung der Leguminosen</t>
  </si>
  <si>
    <t>dt TM/ha</t>
  </si>
  <si>
    <t>bis 8 % Humus</t>
  </si>
  <si>
    <t>8 bis 15 % Humus</t>
  </si>
  <si>
    <t>5 bis 10 % Legum.</t>
  </si>
  <si>
    <t>10 bis 20 % Legum.</t>
  </si>
  <si>
    <t>keine Legum.</t>
  </si>
  <si>
    <t>organ. Dgg im Vorjahr: 10 % vom aufgebr. Ges.-N</t>
  </si>
  <si>
    <t>Wintergerste</t>
  </si>
  <si>
    <t>Nutzungsform</t>
  </si>
  <si>
    <t>Extensivweide</t>
  </si>
  <si>
    <t>Intensivweide</t>
  </si>
  <si>
    <t>Roggen</t>
  </si>
  <si>
    <t>Anrechnung der Faktoren</t>
  </si>
  <si>
    <t>WiGerste</t>
  </si>
  <si>
    <t>1. N</t>
  </si>
  <si>
    <t>2. N</t>
  </si>
  <si>
    <t>3. N</t>
  </si>
  <si>
    <t>WiRoggen</t>
  </si>
  <si>
    <t>WiTriticale</t>
  </si>
  <si>
    <t>WiWeizen</t>
  </si>
  <si>
    <t>Nmin</t>
  </si>
  <si>
    <t>0 bis 30 cm</t>
  </si>
  <si>
    <t>30 bis 60 cm</t>
  </si>
  <si>
    <t>60 bis 90 cm</t>
  </si>
  <si>
    <t xml:space="preserve">Organ. Dgg </t>
  </si>
  <si>
    <t>im System RP</t>
  </si>
  <si>
    <t>Triticale</t>
  </si>
  <si>
    <t>Vor- u. Zw.frucht</t>
  </si>
  <si>
    <t>Raps</t>
  </si>
  <si>
    <t>0,5 kg FM/m²</t>
  </si>
  <si>
    <t>Aufwuchs im Spätherbst</t>
  </si>
  <si>
    <t>0,8 kg FM/m²</t>
  </si>
  <si>
    <t>1,1 kg FM/m²</t>
  </si>
  <si>
    <t>1,5 kg FM/m²</t>
  </si>
  <si>
    <t>2 kg FM/m²</t>
  </si>
  <si>
    <t>3 kg FM/m²</t>
  </si>
  <si>
    <t>2,5 kg FM/m²</t>
  </si>
  <si>
    <t>Raps dt/ha</t>
  </si>
  <si>
    <t>N-Sollwert</t>
  </si>
  <si>
    <t>N-Bed DüV</t>
  </si>
  <si>
    <r>
      <t>1. N-Gabe</t>
    </r>
    <r>
      <rPr>
        <b/>
        <vertAlign val="subscript"/>
        <sz val="12"/>
        <rFont val="Calibri"/>
        <family val="2"/>
        <scheme val="minor"/>
      </rPr>
      <t xml:space="preserve"> (zur Saat)</t>
    </r>
  </si>
  <si>
    <t>Zuckerrüben</t>
  </si>
  <si>
    <t>% N im Erntegut</t>
  </si>
  <si>
    <t>dt ZRüben/ha</t>
  </si>
  <si>
    <t>DüV-N-Obergr.</t>
  </si>
  <si>
    <t>Rübe+Blatt-N</t>
  </si>
  <si>
    <t>0,17 bis 0,12 % N Rübe</t>
  </si>
  <si>
    <t>Aufn. kg N/ha</t>
  </si>
  <si>
    <t>siehe auch EUF-Methode</t>
  </si>
  <si>
    <t>gemäß DüV = 0,18 (bei hohen Erträgen deutlich geinger: 0,15 bis 0,12)</t>
  </si>
  <si>
    <t>vorwiegende Form langjähriger organ. Düngung</t>
  </si>
  <si>
    <t>Restbedarf</t>
  </si>
  <si>
    <t>Kartoffeln</t>
  </si>
  <si>
    <t>gemäß DüV = 0,35</t>
  </si>
  <si>
    <t>Knolle+Blatt-N</t>
  </si>
  <si>
    <t>Düngeempfehlung</t>
  </si>
  <si>
    <t>N-Saldo (Kornernte)</t>
  </si>
  <si>
    <t>N-Saldo (Korn- + Strohernte)</t>
  </si>
  <si>
    <t>Summen kg N/ha</t>
  </si>
  <si>
    <t>N-Saldo</t>
  </si>
  <si>
    <t>Frühkartoffeln</t>
  </si>
  <si>
    <t>dt Knollen/ha</t>
  </si>
  <si>
    <t>dt/ha A-Weizen</t>
  </si>
  <si>
    <t>DüV</t>
  </si>
  <si>
    <t>N-Bed.wert</t>
  </si>
  <si>
    <t>Opp</t>
  </si>
  <si>
    <t>Sim</t>
  </si>
  <si>
    <t>Versuche 2010-16</t>
  </si>
  <si>
    <t>LUFA</t>
  </si>
  <si>
    <t>Körnermais</t>
  </si>
  <si>
    <t>Gesamt</t>
  </si>
  <si>
    <t>Wintertriticale</t>
  </si>
  <si>
    <t>Winterroggen</t>
  </si>
  <si>
    <t>dt TM-Ertrag/ha bei angeg. TM-Gehalt</t>
  </si>
  <si>
    <t>Humusgehalt</t>
  </si>
  <si>
    <t>bis 4 %</t>
  </si>
  <si>
    <t>größer 4 %</t>
  </si>
  <si>
    <t>Höhenlage m über NN</t>
  </si>
  <si>
    <t>Abzug</t>
  </si>
  <si>
    <t>Zuschlag</t>
  </si>
  <si>
    <r>
      <t>0,75*N</t>
    </r>
    <r>
      <rPr>
        <vertAlign val="subscript"/>
        <sz val="7"/>
        <color theme="1"/>
        <rFont val="Calibri"/>
        <family val="2"/>
        <scheme val="minor"/>
      </rPr>
      <t>min</t>
    </r>
    <r>
      <rPr>
        <sz val="7"/>
        <color theme="1"/>
        <rFont val="Calibri"/>
        <family val="2"/>
        <scheme val="minor"/>
      </rPr>
      <t>30-60, 0,5*N</t>
    </r>
    <r>
      <rPr>
        <vertAlign val="subscript"/>
        <sz val="7"/>
        <color theme="1"/>
        <rFont val="Calibri"/>
        <family val="2"/>
        <scheme val="minor"/>
      </rPr>
      <t>min</t>
    </r>
    <r>
      <rPr>
        <sz val="7"/>
        <color theme="1"/>
        <rFont val="Calibri"/>
        <family val="2"/>
        <scheme val="minor"/>
      </rPr>
      <t>60-90cm, organDgg, Vorfr, Zwfr, Ackerzahl</t>
    </r>
  </si>
  <si>
    <t>organDgg, Vorfr, Zwfr, Ackerzahl</t>
  </si>
  <si>
    <t>Funktionen</t>
  </si>
  <si>
    <t>Sollwert 1. Gabe</t>
  </si>
  <si>
    <t>Sollwert 2. Gabe</t>
  </si>
  <si>
    <t>Sollwert 3. Gabe</t>
  </si>
  <si>
    <t>Nmin 0-30, 25 % Nmin 30-60</t>
  </si>
  <si>
    <t>Sollwert = kg N in ges. Pflanze</t>
  </si>
  <si>
    <t xml:space="preserve"> kg N/ha</t>
  </si>
  <si>
    <t xml:space="preserve">Düngeempfehlung </t>
  </si>
  <si>
    <t>Nmin 0-30, 33 % Nmin 30-60</t>
  </si>
  <si>
    <t>= 25 % vom Ges.-Sollwert</t>
  </si>
  <si>
    <t>N</t>
  </si>
  <si>
    <t>vorwieg. Form langjähriger organ. Düngung</t>
  </si>
  <si>
    <t>Jauche</t>
  </si>
  <si>
    <t>Klärschlamm-fest</t>
  </si>
  <si>
    <t>Pilzsubstrat</t>
  </si>
  <si>
    <t>Grünschnittkompost</t>
  </si>
  <si>
    <t>Organische Dünger</t>
  </si>
  <si>
    <t>Rindergülle</t>
  </si>
  <si>
    <t>Schweinegülle</t>
  </si>
  <si>
    <t>% N-Anrechnung (Mineraldünger-Äquivalent)</t>
  </si>
  <si>
    <t>Klärschlamm-flüssig</t>
  </si>
  <si>
    <t>Bioabfallkompost</t>
  </si>
  <si>
    <t xml:space="preserve">Bezeichnung </t>
  </si>
  <si>
    <t>von</t>
  </si>
  <si>
    <t>Schlägen</t>
  </si>
  <si>
    <t>einheiten</t>
  </si>
  <si>
    <t>oder</t>
  </si>
  <si>
    <t>Bewirtschaftungs-</t>
  </si>
  <si>
    <t>hier</t>
  </si>
  <si>
    <t>Grünland mit alleiniger Schnittnutzung (Wiesen)</t>
  </si>
  <si>
    <t>Grünland mit alleiniger Weidenutzung (Weiden)</t>
  </si>
  <si>
    <t>Grünland mit Schnitt- und Weidenutzung (Mähweiden)</t>
  </si>
  <si>
    <t>Vorgaben der DüV</t>
  </si>
  <si>
    <t>Anzahl Schnitte</t>
  </si>
  <si>
    <t>% RP i.d.TM.</t>
  </si>
  <si>
    <t>Kritik: Mit zunehmender Schnitthäufigkeit steigt der Ertrag unregelmäßig an.</t>
  </si>
  <si>
    <t>Mit zunehmender Schnitthäufigkeit steigt der Ertrag mit abnehmendem Zuwachs an.</t>
  </si>
  <si>
    <t>Bedarfswert in kg N/ha</t>
  </si>
  <si>
    <t>Ertragsschätzung: 1 cm durchschnittliche Wuchshöhe oberhalb der Schnitthöhe entspricht ca. 1 dt TM/ha</t>
  </si>
  <si>
    <t>intensiv</t>
  </si>
  <si>
    <t>extensiv</t>
  </si>
  <si>
    <t>Weidenutzung</t>
  </si>
  <si>
    <t>Ertragsschätzung: 1 cm durchschnittliche Wuchshöhe oberhalb der Fraßhöhe entspricht ca. 1 dt TM/ha</t>
  </si>
  <si>
    <t>Bezeichnung eingeben</t>
  </si>
  <si>
    <t>Weideanteil am Ertrag in %</t>
  </si>
  <si>
    <t>andere Beispiele</t>
  </si>
  <si>
    <t>Jungviehweide</t>
  </si>
  <si>
    <t>Silage</t>
  </si>
  <si>
    <t>Heu</t>
  </si>
  <si>
    <t>kg N/ha eingeben</t>
  </si>
  <si>
    <t>eintragen</t>
  </si>
  <si>
    <t>Gras                               3-4 Schnitte</t>
  </si>
  <si>
    <t>Rotklee                  Luzerne</t>
  </si>
  <si>
    <t>Gras                                  5 Schnitte</t>
  </si>
  <si>
    <t>Klee-/Luz.gras                                  3-4 Schnitte</t>
  </si>
  <si>
    <t>Winterweizen A,B</t>
  </si>
  <si>
    <t>Winterweizen E</t>
  </si>
  <si>
    <t>Kartoffel</t>
  </si>
  <si>
    <t>Frühkartoffel</t>
  </si>
  <si>
    <t>N-Bedarfswert</t>
  </si>
  <si>
    <t>1 dt mehr</t>
  </si>
  <si>
    <t>1 dt weniger</t>
  </si>
  <si>
    <t>kg Nmin</t>
  </si>
  <si>
    <t>ab 4 %</t>
  </si>
  <si>
    <t>plus 1 dt/ha</t>
  </si>
  <si>
    <t>minus 1 dt/ha</t>
  </si>
  <si>
    <t>mehr als 20 % Legum.</t>
  </si>
  <si>
    <t>Betrieb</t>
  </si>
  <si>
    <t>Erntejahr</t>
  </si>
  <si>
    <t>Straße und Hausnr.</t>
  </si>
  <si>
    <t>Ackerbau-Kulturen</t>
  </si>
  <si>
    <t xml:space="preserve"> 15 bis 30 % Humus</t>
  </si>
  <si>
    <t>Zielertrag dt TM/ha</t>
  </si>
  <si>
    <t>bis 8 %</t>
  </si>
  <si>
    <t>8 bis 15 %</t>
  </si>
  <si>
    <t xml:space="preserve"> 15 bis 30 %</t>
  </si>
  <si>
    <t>10 % des Ges.-N der organ. Dgg. im Vorjahr in kg N/ha</t>
  </si>
  <si>
    <t>Buchweizen</t>
  </si>
  <si>
    <t>Ackergras, 5 Schnitte</t>
  </si>
  <si>
    <t>Ackergras, 3-4 Schnitte</t>
  </si>
  <si>
    <t>Klee-/Luzerne</t>
  </si>
  <si>
    <t>Ackerfutterbau-Kulturen</t>
  </si>
  <si>
    <t>Klee-/Luz.gras, 3-4 Schn.</t>
  </si>
  <si>
    <t>% Ertragsanteil Leguminosen</t>
  </si>
  <si>
    <t>PLZ und Ort</t>
  </si>
  <si>
    <t>Sorghum/Sudangras-Ganzpfl. (28 % TM)</t>
  </si>
  <si>
    <t xml:space="preserve">Der N-Bedarfswert errechnet sich bei reiner Schnittnutzung durch Multiplikation des Ertrages (dt TM/ha) mit dem Rohproteingehalt (% der TM) und Division durch 6,25. Die Anzahl der Schnittnutzungen spielt für die Art der Berechnung keine Rolle. </t>
  </si>
  <si>
    <t xml:space="preserve">Der N-Bedarfswert errechnet sich bei reiner Weidenutzung durch Multiplikation des Ertrages (dt TM/ha) mit 0,5 sowie mit dem Rohproteingehalt (% der TM) und Division durch 6,25. Die Intensität der Nutzung spielt für die Art der Berechnung keine Rolle. </t>
  </si>
  <si>
    <t xml:space="preserve">Der N-Bedarfswert errechnet sich bei reiner Schnittnutzung durch Multiplikation des Ertrages (dt TM/ha) mit dem Rohproteingehalt (% der TM) und Division durch 6,25. Die Berechnung ist unabhängig von der Anzahl der Schnittnutzungen. </t>
  </si>
  <si>
    <t>trockener März/April (1. N-Gabe betont)</t>
  </si>
  <si>
    <t>Menge</t>
  </si>
  <si>
    <t>Gesamt-N-Gehalt</t>
  </si>
  <si>
    <t>N-Anrechnung</t>
  </si>
  <si>
    <t>% vom Gesamt-N</t>
  </si>
  <si>
    <t>anrechenbar aus dem organ. Dünger</t>
  </si>
  <si>
    <t>Humus-        gehalt</t>
  </si>
  <si>
    <t>Bedarfswert kg N/ha</t>
  </si>
  <si>
    <t>Kurzrasenweide</t>
  </si>
  <si>
    <t>Dienstleistungszentrum Ländlicher Raum Rheinhessen-Nahe-Hunsrück, 55545 Bad Kreuznach</t>
  </si>
  <si>
    <t>Kategorie</t>
  </si>
  <si>
    <t>belegter Platz/erzeugtes Tier</t>
  </si>
  <si>
    <t>kg N</t>
  </si>
  <si>
    <r>
      <t>kg P</t>
    </r>
    <r>
      <rPr>
        <b/>
        <vertAlign val="subscript"/>
        <sz val="12"/>
        <color theme="1"/>
        <rFont val="Calibri"/>
        <family val="2"/>
        <scheme val="minor"/>
      </rPr>
      <t>2</t>
    </r>
    <r>
      <rPr>
        <b/>
        <sz val="12"/>
        <color theme="1"/>
        <rFont val="Calibri"/>
        <family val="2"/>
        <scheme val="minor"/>
      </rPr>
      <t>O</t>
    </r>
    <r>
      <rPr>
        <b/>
        <vertAlign val="subscript"/>
        <sz val="12"/>
        <color theme="1"/>
        <rFont val="Calibri"/>
        <family val="2"/>
        <scheme val="minor"/>
      </rPr>
      <t>5</t>
    </r>
  </si>
  <si>
    <r>
      <t>kg K</t>
    </r>
    <r>
      <rPr>
        <b/>
        <vertAlign val="subscript"/>
        <sz val="12"/>
        <color theme="1"/>
        <rFont val="Calibri"/>
        <family val="2"/>
        <scheme val="minor"/>
      </rPr>
      <t>2</t>
    </r>
    <r>
      <rPr>
        <b/>
        <sz val="12"/>
        <color theme="1"/>
        <rFont val="Calibri"/>
        <family val="2"/>
        <scheme val="minor"/>
      </rPr>
      <t>O</t>
    </r>
  </si>
  <si>
    <t>belegter Platz</t>
  </si>
  <si>
    <t>erzeugtes Tier</t>
  </si>
  <si>
    <t>Tierart/Verfahren</t>
  </si>
  <si>
    <t xml:space="preserve">Rinder </t>
  </si>
  <si>
    <t xml:space="preserve">Schweine </t>
  </si>
  <si>
    <t xml:space="preserve">Geflügel </t>
  </si>
  <si>
    <t>Pferde, Schafe, Ziegen</t>
  </si>
  <si>
    <t>Eberhaltung bP</t>
  </si>
  <si>
    <t>Junghennenaufz. 3,5 kg Zuw. N-P-red. bP</t>
  </si>
  <si>
    <t>Hähnchenmast 39 Tage N-P-red. bP</t>
  </si>
  <si>
    <t>Hähnchenmast bis 29 Tage N-P-red. bP</t>
  </si>
  <si>
    <t>Putenmast gem. geschlechtl. N-P-red.  eT</t>
  </si>
  <si>
    <t>Pekingenten 6,5 Durchg. bP</t>
  </si>
  <si>
    <t>Flugenten 4 Durchg. bP</t>
  </si>
  <si>
    <t>Gänse Schnellmast  eT</t>
  </si>
  <si>
    <t>Gänse Mittelmast  eT</t>
  </si>
  <si>
    <t>Gänse Spät-/Weidemast  eT</t>
  </si>
  <si>
    <t>Mist</t>
  </si>
  <si>
    <t>Weide</t>
  </si>
  <si>
    <r>
      <t>P</t>
    </r>
    <r>
      <rPr>
        <b/>
        <vertAlign val="subscript"/>
        <sz val="12"/>
        <color theme="1"/>
        <rFont val="Calibri"/>
        <family val="2"/>
        <scheme val="minor"/>
      </rPr>
      <t>2</t>
    </r>
    <r>
      <rPr>
        <b/>
        <sz val="12"/>
        <color theme="1"/>
        <rFont val="Calibri"/>
        <family val="2"/>
        <scheme val="minor"/>
      </rPr>
      <t>O</t>
    </r>
    <r>
      <rPr>
        <b/>
        <vertAlign val="subscript"/>
        <sz val="12"/>
        <color theme="1"/>
        <rFont val="Calibri"/>
        <family val="2"/>
        <scheme val="minor"/>
      </rPr>
      <t>5</t>
    </r>
  </si>
  <si>
    <r>
      <t>K</t>
    </r>
    <r>
      <rPr>
        <b/>
        <vertAlign val="subscript"/>
        <sz val="12"/>
        <color theme="1"/>
        <rFont val="Calibri"/>
        <family val="2"/>
        <scheme val="minor"/>
      </rPr>
      <t>2</t>
    </r>
    <r>
      <rPr>
        <b/>
        <sz val="12"/>
        <color theme="1"/>
        <rFont val="Calibri"/>
        <family val="2"/>
        <scheme val="minor"/>
      </rPr>
      <t>O</t>
    </r>
  </si>
  <si>
    <t>Summe</t>
  </si>
  <si>
    <t>Kalksalpeter</t>
  </si>
  <si>
    <t>Stickstoffmagnesia</t>
  </si>
  <si>
    <t>Harnstoff (Urea)</t>
  </si>
  <si>
    <t>Ammonsulfatlösung ASL</t>
  </si>
  <si>
    <t>Kalkstickstoff</t>
  </si>
  <si>
    <t>Superphosphat</t>
  </si>
  <si>
    <t>mittel</t>
  </si>
  <si>
    <t>Schnitt-nutzung</t>
  </si>
  <si>
    <t>Basiswert DüV</t>
  </si>
  <si>
    <t>Ziel</t>
  </si>
  <si>
    <t>Bedarf         kg N/ha</t>
  </si>
  <si>
    <t>ertragsabh. Bedarf                 kg N/ha</t>
  </si>
  <si>
    <t>ertragsabh. Bedarf                   kg N/ha</t>
  </si>
  <si>
    <t>Ackerbau                                      Kultur auswählen</t>
  </si>
  <si>
    <t>% RP in der TM</t>
  </si>
  <si>
    <t>% TM (Standard = 30)</t>
  </si>
  <si>
    <t>Korrektur</t>
  </si>
  <si>
    <t>Sau + 22 Ferkel 8 kg U-Futter bP</t>
  </si>
  <si>
    <t>Sau + 22 Ferkel 8 kg N-P-red. bP</t>
  </si>
  <si>
    <t>Sau + 22 Ferkel 8 kg stark N-P-red. bP</t>
  </si>
  <si>
    <t>Sau + 25 Ferkel 8 kg U-Futter bP</t>
  </si>
  <si>
    <t>Sau + 25 Ferkel 8 kg stark N-P-red. bP</t>
  </si>
  <si>
    <t>Sau + 25 Ferkel 8 kg N-P-red. bP</t>
  </si>
  <si>
    <t>Sau + 28 Ferkel 8 kg U-Futter bP</t>
  </si>
  <si>
    <t>Sau + 28 Ferkel 8 kg N-P-red. bP</t>
  </si>
  <si>
    <t>Sau + 28 Ferkel 8 kg stark N-P-red. bP</t>
  </si>
  <si>
    <t>Sau + 22 Ferkel 28 kg U-Futter bP</t>
  </si>
  <si>
    <t>Sau + 22 Ferkel 28 kg N-P-red. bP</t>
  </si>
  <si>
    <t>Sau + 22 Ferkel 28 kg stark N-P-red. bP</t>
  </si>
  <si>
    <t>Sau + 25 Ferkel 28 kg U-Futter bP</t>
  </si>
  <si>
    <t>Sau + 25 Ferkel 28 kg N-P-red. bP</t>
  </si>
  <si>
    <t>Sau + 25 Ferkel 28 kg stark N-P-red. bP</t>
  </si>
  <si>
    <t>Sau + 28 Ferkel 28 kg U-Futter bP</t>
  </si>
  <si>
    <t>Sau + 28 Ferkel 28 kg N-P-red. bP</t>
  </si>
  <si>
    <t>Sau + 28 Ferkel 28 kg stark N-P-red. bP</t>
  </si>
  <si>
    <t>kg/ha</t>
  </si>
  <si>
    <t>max. Nmin-Probentiefe cm</t>
  </si>
  <si>
    <t xml:space="preserve">Das bedeutet: </t>
  </si>
  <si>
    <t>= 30 % vom Ges.-Sollwert + 60 % des Höhenlagenzuschlags</t>
  </si>
  <si>
    <t>= 40 % vom Ges.-Sollwert + 40 % des Höhenlagenzuschlags</t>
  </si>
  <si>
    <t>= 30 % vom Ges.-Sollwert</t>
  </si>
  <si>
    <t>Ges.-Sollwert (kg N in ges. Pflanze):</t>
  </si>
  <si>
    <t>Es werden N-Sollwerte für eine dreigeteilte N-Düngung angegeben.</t>
  </si>
  <si>
    <t>Abzüge vom Sollwert</t>
  </si>
  <si>
    <t>2,5 kg N/100 m Höhenunterschied beginnend ab 40 m über NN</t>
  </si>
  <si>
    <r>
      <t>Die N</t>
    </r>
    <r>
      <rPr>
        <vertAlign val="subscript"/>
        <sz val="10"/>
        <color theme="1"/>
        <rFont val="Calibri"/>
        <family val="2"/>
        <scheme val="minor"/>
      </rPr>
      <t>min-</t>
    </r>
    <r>
      <rPr>
        <sz val="10"/>
        <color theme="1"/>
        <rFont val="Calibri"/>
        <family val="2"/>
        <scheme val="minor"/>
      </rPr>
      <t>Gehalte werden zu N1 und N2 unterschiedlich berücksichtigt. 15 kg N/ha können witterungsbedingt von N2 auf N1 verschoben werden.</t>
    </r>
  </si>
  <si>
    <t>Die Ackerzahl, Vor- und Zwischenfrüchte, die letzt- und langjährige organische Düngung werden zu N2 und N3 berücksichtigt.</t>
  </si>
  <si>
    <t>1 GV Festmist hat dabei eine höhere N-Nachlieferung als 1 GV Schweinegülle oder HTK.</t>
  </si>
  <si>
    <t xml:space="preserve">Die langjährige organ. Düngung wird abhängig von deren Form (bzw. Anteil organ. gebund. N) berücksichtigt. </t>
  </si>
  <si>
    <t>Erläuterung der Berechnung siehe unten (Funktionen).</t>
  </si>
  <si>
    <t>= 35 % vom Ges.-Sollwert + 60 % des Höhenlagenzuschlags</t>
  </si>
  <si>
    <t>ertragsabhängig errechnet</t>
  </si>
  <si>
    <t xml:space="preserve">Die Verwertung des N in Abhängigkeit von der Ackerzahl wird nach einer quadratischen Funktion ermittelt. </t>
  </si>
  <si>
    <t>Zuschlag für Höhe über NN:</t>
  </si>
  <si>
    <t>Strohfaktor = (115 - 0,5*Kornertrag)/100</t>
  </si>
  <si>
    <t>Bsp: (115 - 0,5*80)/100 = 0,75</t>
  </si>
  <si>
    <t>Stroh-N = % RP im Korn/25</t>
  </si>
  <si>
    <t>Bsp: 12,5 : 25 = 0,5</t>
  </si>
  <si>
    <t>24-Std.-Weiden</t>
  </si>
  <si>
    <t>12-Std.-Weiden</t>
  </si>
  <si>
    <t>friedhelm.fritsch@dlr.rlp.de</t>
  </si>
  <si>
    <t>Korn-N (dt/ha * % TM/100 * % RP/ 5,7) + Stroh-N (dt/ha * Strohfaktor * %-Stroh-N) + Zuschlag Restpfl. (14 % vom Korn-N + Stroh-N)</t>
  </si>
  <si>
    <t>realisierbarer Rohproteingehalt                                    % RP i.d. TM</t>
  </si>
  <si>
    <r>
      <t>kg N in gesamter Pflanze/ha</t>
    </r>
    <r>
      <rPr>
        <b/>
        <sz val="9"/>
        <color theme="1"/>
        <rFont val="Calibri"/>
        <family val="2"/>
        <scheme val="minor"/>
      </rPr>
      <t xml:space="preserve">                              (Korn-N + Stroh-N) * 1,24</t>
    </r>
  </si>
  <si>
    <t>Futtergetreide 12 % ausreichend</t>
  </si>
  <si>
    <t>Korn-N (dt/ha * % TM/100 * % RP/ 6,25) + Stroh-N (dt/ha * Strohfaktor * %-Stroh-N) + Zuschlag Restpfl. (24 % vom Korn-N + Stroh-N)</t>
  </si>
  <si>
    <t>Strohfaktor = (130 - 0,5*Kornertrag)/100</t>
  </si>
  <si>
    <t>Bsp: (130 - 0,5*70)/100 = 0,95</t>
  </si>
  <si>
    <t>Stroh-N = % RP im Korn/24</t>
  </si>
  <si>
    <t>Bsp: 12 : 24 = 0,5</t>
  </si>
  <si>
    <t>Die Korn-N-Menge errechnet sich aus dem dt-Korn-TM/ha-Ertrag und dem Rohproteingehalt (% in der Trockenmasse). Bei Triticale wird mit dem Faktor 6,25 aus dem N-Gehalt der RP-Gehalt ermittelt. Der N-Gehalt im Stroh wird vom %-RP-Gehalt im Korn abgeleitet. Das Korn:Stroh-Verhältnis sinkt mit steigendem Kornertrag. Die Restpflanze (nicht erntbare Teile: Streu, Stoppeln, Wurzeln) wird gemessen am N in Korn und Stroh mit weiteren 24 % angenommen (womit aber auch das artspezifische N-Aneigungsvermögen beim "Gesamtsollwert" berücksichtigt wird).</t>
  </si>
  <si>
    <t>Die Korn-N-Menge errechnet sich aus dem dt-Korn-TM/ha-Ertrag und dem Rohproteingehalt (% in der Trockenmasse). Bei Weizen wird mit dem Faktor 5,7 aus dem N-Gehalt der RP-Gehalt ermittelt. Der N-Gehalt im Stroh wird vom %-RP-Gehalt im Korn abgeleitet. Das Korn:Stroh-Verhältnis sinkt mit steigendem Kornertrag. Die Restpflanze (nicht erntbare Teile: Streu, Stoppeln, Wurzeln) wird gemessen am N in Korn und Stroh mit weiteren 14 % angenommen (womit aber auch das artspezifische N-Aneigungsvermögen beim "Gesamtsollwert" berücksichtigt wird).</t>
  </si>
  <si>
    <t>= 45 % vom Ges.-Sollwert + 40 % des Höhenlagenzuschlags</t>
  </si>
  <si>
    <t>= 20 % vom Ges.-Sollwert</t>
  </si>
  <si>
    <t>Nmin 0-30, 50 % Nmin 30-60</t>
  </si>
  <si>
    <t>75 % Nmin 30-60, 50 % Nmin 60-90, je 40 % Vor- und Zwischenfrucht, 25 % (von 10 % des aufgebr. N) organ. Dgg Vorjahr, 50 % Ackerzahlkorrektur, 40 % langj. organ. Dgg</t>
  </si>
  <si>
    <t>je 60 % Vor- und Zwischenfrucht, 25 % (von 10 % des aufgebr. N) organ. Dgg Vorjahr, 50 % Ackerzahlkorrektur, 60 % langj. organ. Dgg</t>
  </si>
  <si>
    <t>67 % Nmin 30-60, 50 % Nmin 60-90, je 40 % Vor- und Zwischenfrucht, 25 % (von 10 % des aufgebr. N) organ. Dgg Vorjahr, 50 % Ackerzahlkorrektur, 40 % langj. organ. Dgg</t>
  </si>
  <si>
    <r>
      <t>Die N</t>
    </r>
    <r>
      <rPr>
        <vertAlign val="subscript"/>
        <sz val="10"/>
        <color theme="1"/>
        <rFont val="Calibri"/>
        <family val="2"/>
        <scheme val="minor"/>
      </rPr>
      <t>min-</t>
    </r>
    <r>
      <rPr>
        <sz val="10"/>
        <color theme="1"/>
        <rFont val="Calibri"/>
        <family val="2"/>
        <scheme val="minor"/>
      </rPr>
      <t>Gehalte werden zu N1 und N2 unterschiedlich berücksichtigt. 10 kg N/ha können witterungsbedingt von N2 auf N1 verschoben werden.</t>
    </r>
  </si>
  <si>
    <t>Brotroggen 11 % und                            Futterroggen 12 % ausreichend</t>
  </si>
  <si>
    <t>Zu 60 % bei erster und zu 40 % bei zweiter N-Gabe berücksichtigt.</t>
  </si>
  <si>
    <r>
      <t>kg N in gesamter Pflanze/ha</t>
    </r>
    <r>
      <rPr>
        <b/>
        <sz val="9"/>
        <color theme="1"/>
        <rFont val="Calibri"/>
        <family val="2"/>
        <scheme val="minor"/>
      </rPr>
      <t xml:space="preserve">                              (Korn-N + Stroh-N) * 1,2</t>
    </r>
  </si>
  <si>
    <t>Korn-N (dt/ha * % TM/100 * % RP/ 6,25) + Stroh-N (dt/ha * Strohfaktor * %-Stroh-N) + Zuschlag Restpfl. (20 % vom Korn-N + Stroh-N)</t>
  </si>
  <si>
    <t>Strohfaktor = (125 - 0,5*Kornertrag)/100</t>
  </si>
  <si>
    <t>Bsp: (125 - 0,5*70)/100 = 0,9</t>
  </si>
  <si>
    <t>Stroh-N = % RP im Korn/22</t>
  </si>
  <si>
    <t>Bsp: 11 : 22 = 0,5</t>
  </si>
  <si>
    <t>Die Korn-N-Menge errechnet sich aus dem dt-Korn-TM/ha-Ertrag und dem Rohproteingehalt (% in der Trockenmasse). Bei Roggen wird mit dem Faktor 6,25 aus dem N-Gehalt der RP-Gehalt ermittelt. Der N-Gehalt im Stroh wird vom %-RP-Gehalt im Korn abgeleitet. Das Korn:Stroh-Verhältnis sinkt mit steigendem Kornertrag. Die Restpflanze (nicht erntbare Teile: Streu, Stoppeln, Wurzeln) wird gemessen am N in Korn und Stroh mit weiteren 20 % angenommen (womit aber auch das artspezifische N-Aneigungsvermögen beim "Gesamtsollwert" berücksichtigt wird).</t>
  </si>
  <si>
    <t>Bei Roggen werden von AZ 90 bis AZ 25 ca. 12 kg N/ha aufgeschlagen.</t>
  </si>
  <si>
    <t>Bei Triticale werden von AZ 90 bis AZ 25 ca. 12 kg N/ha aufgeschlagen.</t>
  </si>
  <si>
    <t>Bei Weizen werden von AZ 90 bis AZ 25 ca. 12 kg N/ha aufgeschlagen.</t>
  </si>
  <si>
    <t>Futtergerste 12 % ausreichend</t>
  </si>
  <si>
    <t>Strohfaktor = (105 - 0,5*Kornertrag)/100</t>
  </si>
  <si>
    <t>Bsp: (105 - 0,5*70)/100 = 0,7</t>
  </si>
  <si>
    <r>
      <t>kg N in gesamter Pflanze/ha</t>
    </r>
    <r>
      <rPr>
        <b/>
        <sz val="9"/>
        <color theme="1"/>
        <rFont val="Calibri"/>
        <family val="2"/>
        <scheme val="minor"/>
      </rPr>
      <t xml:space="preserve">                              (Korn-N + Stroh-N) * 1,22</t>
    </r>
  </si>
  <si>
    <t>Korn-N (dt/ha * % TM/100 * % RP/ 6,25) + Stroh-N (dt/ha * Strohfaktor * %-Stroh-N) + Zuschlag Restpfl. (22 % vom Korn-N + Stroh-N)</t>
  </si>
  <si>
    <t>Die Korn-N-Menge errechnet sich aus dem dt-Korn-TM/ha-Ertrag und dem Rohproteingehalt (% in der Trockenmasse). Bei Gerste wird mit dem Faktor 6,25 aus dem N-Gehalt der RP-Gehalt ermittelt. Der N-Gehalt im Stroh wird vom %-RP-Gehalt im Korn abgeleitet. Das Korn:Stroh-Verhältnis sinkt mit steigendem Kornertrag. Die Restpflanze (nicht erntbare Teile: Streu, Stoppeln, Wurzeln) wird gemessen am N in Korn und Stroh mit weiteren 22 % angenommen (womit aber auch das artspezifische N-Aneigungsvermögen beim "Gesamtsollwert" berücksichtigt wird).</t>
  </si>
  <si>
    <t>Nmin 0-30, 75 % Nmin 30-60</t>
  </si>
  <si>
    <t>Bei Gerste werden von AZ 90 bis AZ 25 ca. 12 kg N/ha aufgeschlagen.</t>
  </si>
  <si>
    <t>Düngeempfehlung            kg N/ha</t>
  </si>
  <si>
    <t>Futterhafer 11 % ausreichend</t>
  </si>
  <si>
    <r>
      <t>N</t>
    </r>
    <r>
      <rPr>
        <vertAlign val="subscript"/>
        <sz val="7"/>
        <color theme="1"/>
        <rFont val="Calibri"/>
        <family val="2"/>
        <scheme val="minor"/>
      </rPr>
      <t>min</t>
    </r>
    <r>
      <rPr>
        <sz val="7"/>
        <color theme="1"/>
        <rFont val="Calibri"/>
        <family val="2"/>
        <scheme val="minor"/>
      </rPr>
      <t>0-30, 0,75*N</t>
    </r>
    <r>
      <rPr>
        <vertAlign val="subscript"/>
        <sz val="7"/>
        <color theme="1"/>
        <rFont val="Calibri"/>
        <family val="2"/>
        <scheme val="minor"/>
      </rPr>
      <t>min</t>
    </r>
    <r>
      <rPr>
        <sz val="7"/>
        <color theme="1"/>
        <rFont val="Calibri"/>
        <family val="2"/>
        <scheme val="minor"/>
      </rPr>
      <t>30-60</t>
    </r>
  </si>
  <si>
    <r>
      <t>kg N in gesamter Pflanze/ha</t>
    </r>
    <r>
      <rPr>
        <b/>
        <sz val="9"/>
        <color theme="1"/>
        <rFont val="Calibri"/>
        <family val="2"/>
        <scheme val="minor"/>
      </rPr>
      <t xml:space="preserve">                              (Korn-N + Stroh-N) * 1,15</t>
    </r>
  </si>
  <si>
    <t>kg N/ha; Standortanpassung</t>
  </si>
  <si>
    <t>www.pflanzenbau.rlp.de</t>
  </si>
  <si>
    <t>www.wasserschutzberatung.rlp.de</t>
  </si>
  <si>
    <t>Rubrik: Düngung &gt; Stickstoff und Schwefel</t>
  </si>
  <si>
    <t>ertragsabhängiger Sollwert:</t>
  </si>
  <si>
    <t>Bsp: (95 - 0,5*60)/100 = 0,65</t>
  </si>
  <si>
    <r>
      <t xml:space="preserve">Strohfaktor = (95 - 0,5*Kornertrag)/100;                                          </t>
    </r>
    <r>
      <rPr>
        <sz val="10"/>
        <color theme="1"/>
        <rFont val="Calibri"/>
        <family val="2"/>
        <scheme val="minor"/>
      </rPr>
      <t>(spielt nur für die N-Bilanz eine Rolle)</t>
    </r>
  </si>
  <si>
    <t>Für die N-Bilanz:</t>
  </si>
  <si>
    <t xml:space="preserve">Die Korn-N-Menge errechnet sich aus dem dt-Korn-TM/ha-Ertrag und dem Rohproteingehalt (% in der Trockenmasse). Bei Gerste wird mit dem Faktor 6,25 aus dem N-Gehalt der RP-Gehalt ermittelt. Der N-Gehalt im Stroh wird mit 0,5 % N angesetzt. Das Korn:Stroh-Verhältnis sinkt mit steigendem Kornertrag. </t>
  </si>
  <si>
    <t>Abzüge vom Sollwert:</t>
  </si>
  <si>
    <r>
      <t>N</t>
    </r>
    <r>
      <rPr>
        <b/>
        <vertAlign val="subscript"/>
        <sz val="11"/>
        <color theme="1"/>
        <rFont val="Calibri"/>
        <family val="2"/>
        <scheme val="minor"/>
      </rPr>
      <t>min</t>
    </r>
    <r>
      <rPr>
        <b/>
        <sz val="11"/>
        <color theme="1"/>
        <rFont val="Calibri"/>
        <family val="2"/>
        <scheme val="minor"/>
      </rPr>
      <t>-Gehalte in 0 bis 60 cm, Abschläge für Vor- und Zwischenfrucht, letztjährige organische Düngung (10 % vom Ges.-N), langjährige organische Düngung (10 kg N/GV), Ackerzahl, Höhenlage, Korrektur für Abreife und RP-Gehalt (alle in der Höhe wie angezeigt). Zwischen Ackerzahl 25 und 90 wird die N-Düngempfehlung um 18 kg/ha differenziert (und damit stärker als beim übrigen Getreide).</t>
    </r>
  </si>
  <si>
    <t>Korn-N (dt/ha * % TM/100 * % RP/ 6,25) + Stroh-N (dt/ha * Strohfaktor * %-Stroh-N) + Zuschlag Restpfl. (15 % vom Korn-N + Stroh-N)</t>
  </si>
  <si>
    <t>Strohfaktor = (135 - 0,5*Kornertrag)/100</t>
  </si>
  <si>
    <t>Bsp: (135 - 0,5*60)/100 = 1,05</t>
  </si>
  <si>
    <t>Die Korn-N-Menge errechnet sich aus dem dt-Korn-TM/ha-Ertrag und dem Rohproteingehalt (% in der Trockenmasse). Bei Hafer wird mit dem Faktor 6,25 aus dem N-Gehalt der RP-Gehalt ermittelt. Der N-Gehalt im Stroh wird vom %-RP-Gehalt im Korn abgeleitet. Das Korn:Stroh-Verhältnis sinkt mit steigendem Kornertrag. Die Restpflanze (nicht erntbare Teile: Streu, Stoppeln, Wurzeln) wird gemessen am N in Korn und Stroh mit weiteren 15 % angenommen (womit aber auch das artspezifische N-Aneigungsvermögen beim "Gesamtsollwert" berücksichtigt wird).</t>
  </si>
  <si>
    <t>Es werden N-Sollwerte für eine zweigeteilte N-Düngung angegeben.</t>
  </si>
  <si>
    <t>= 67 % vom Ges.-Sollwert + 60 % des Höhenlagenzuschlags</t>
  </si>
  <si>
    <t>= 33 % vom Ges.-Sollwert + 40 % des Höhenlagenzuschlags</t>
  </si>
  <si>
    <t>25 % Nmin 30-60, je 25 % Vor- und Zwischenfrucht, 50 % (von 10 % des aufgebr. N) organ. Dgg Vorjahr, 100 % Ackerzahlkorrektur, 100 % langj. organ. Dgg</t>
  </si>
  <si>
    <t>Bei Hafer werden von AZ 90 bis AZ 25 ca. 12 kg N/ha aufgeschlagen.</t>
  </si>
  <si>
    <t>langjährige organ. Düngung:</t>
  </si>
  <si>
    <t>Ackerzahl:</t>
  </si>
  <si>
    <t>Bei Raps werden von AZ 90 bis AZ 25 ca. 15 kg N/ha aufgeschlagen.</t>
  </si>
  <si>
    <t>Strohfaktor = (190 - Kornertrag)/100</t>
  </si>
  <si>
    <t>Bsp: (190 - 40)/100 = 1,5</t>
  </si>
  <si>
    <t xml:space="preserve">Für die N-Bilanz: </t>
  </si>
  <si>
    <t>Anders als bei den Getreidearten wird der ertragsabhängige Sollwert für Raps nicht über die Summe von Korn-N, Stroh-N und Restpflanzen-N gebildet, sondern nach einer quadratische Funktion berechnet. Zu den N-Gehalten im Korn und insbesondere in Blättern und Stängeln liegen nämlich keine eindeutigen Angaben vor. Der DüV-Tabellenwert von 3,35 % N im Rapskorn erscheint bei Ölgehalten über 40 % unrealistisch hoch.</t>
  </si>
  <si>
    <t xml:space="preserve">Die Korn-N-Menge errechnet sich aus dem dt-Korn-TM/ha-Ertrag und dem Rohproteingehalt (% in der Trockenmasse). Bei Raps wird mit dem Faktor 6,25 aus dem N-Gehalt der RP-Gehalt ermittelt. Der N-Gehalt im Stroh wird vom %-RP-Gehalt im Korn abgeleitet. Das Korn:Stroh-Verhältnis sinkt mit steigendem Kornertrag. </t>
  </si>
  <si>
    <t>= 50 % vom Ges.-Sollwert + 60 % des Höhenlagenzuschlags</t>
  </si>
  <si>
    <t>= 50 % vom Ges.-Sollwert + 40 % des Höhenlagenzuschlags</t>
  </si>
  <si>
    <t>Nmin 0-30, 67 % Nmin 30-60; 33 % der Frischmasse-Aufwuchs-Korrektur</t>
  </si>
  <si>
    <t>33 % Nmin 30-60, 75 % Nmin 60-90; 67 % der Frischmasse-Aufwuchs-Korrektur, Vor- und Zwischenfrucht, 50 % (von 10 % des aufgebr. N) organ. Dgg Vorjahr, Ackerzahlkorrektur, 100 % langj. organ. Dgg</t>
  </si>
  <si>
    <t>Vorjahr</t>
  </si>
  <si>
    <t>langjährig</t>
  </si>
  <si>
    <t>Und so funktioniert es:</t>
  </si>
  <si>
    <t>Hier müssen Sie etwas eintragen, damit die Anwendung rechnen kann!</t>
  </si>
  <si>
    <t>Hier treffen Sie eine Auswahl aus den vorgegebenen Möglichkeiten.</t>
  </si>
  <si>
    <t>Ertragsabhängige N-Sollwerte in kg N/ha</t>
  </si>
  <si>
    <t>90 bis 100 kg N im Blatt</t>
  </si>
  <si>
    <t>Auch beim Körnermais wird der N-Sollwert vom Ertrag sowie vom Rohproteingehalt im Korn bestimmt. Dieser liegt (wahrscheinlich) um 10,5 %, gemessen in der Trockenmasse. Die N-Menge in Korn und Stroh alleine liegt bereits über dem Bedarfswert gemäß DüV. Das bedeutet, dass der Mais ein sehr guter N-Verwerter sein muss!</t>
  </si>
  <si>
    <t xml:space="preserve">Die Korn-N-Menge errechnet sich aus dem dt-Korn-TM/ha-Ertrag und dem Rohproteingehalt (% in der Trockenmasse). Bei Mais wird mit dem Faktor 6,25 aus dem N-Gehalt der RP-Gehalt ermittelt. Der N-Gehalt im Stroh hängt vom %-RP-Gehalt im Korn ab (Divisor 11,6). Das Korn:Stroh-Verhältnis sinkt mit steigendem Kornertrag. </t>
  </si>
  <si>
    <t>Bsp: (190 - 90)/100 = 1,0</t>
  </si>
  <si>
    <t>ertragsabhängiger N-Sollwert</t>
  </si>
  <si>
    <r>
      <t>0,67*N</t>
    </r>
    <r>
      <rPr>
        <vertAlign val="subscript"/>
        <sz val="7"/>
        <rFont val="Calibri"/>
        <family val="2"/>
        <scheme val="minor"/>
      </rPr>
      <t>min</t>
    </r>
    <r>
      <rPr>
        <sz val="7"/>
        <rFont val="Calibri"/>
        <family val="2"/>
        <scheme val="minor"/>
      </rPr>
      <t>30-60, 0,5*N</t>
    </r>
    <r>
      <rPr>
        <vertAlign val="subscript"/>
        <sz val="7"/>
        <rFont val="Calibri"/>
        <family val="2"/>
        <scheme val="minor"/>
      </rPr>
      <t>min</t>
    </r>
    <r>
      <rPr>
        <sz val="7"/>
        <rFont val="Calibri"/>
        <family val="2"/>
        <scheme val="minor"/>
      </rPr>
      <t>60-90cm, organDgg, Vorfr, Zwfr, Ackerzahl</t>
    </r>
  </si>
  <si>
    <r>
      <t>0,5*N</t>
    </r>
    <r>
      <rPr>
        <vertAlign val="subscript"/>
        <sz val="7"/>
        <rFont val="Calibri"/>
        <family val="2"/>
        <scheme val="minor"/>
      </rPr>
      <t>min</t>
    </r>
    <r>
      <rPr>
        <sz val="7"/>
        <rFont val="Calibri"/>
        <family val="2"/>
        <scheme val="minor"/>
      </rPr>
      <t>30-60, 0,67*N</t>
    </r>
    <r>
      <rPr>
        <vertAlign val="subscript"/>
        <sz val="7"/>
        <rFont val="Calibri"/>
        <family val="2"/>
        <scheme val="minor"/>
      </rPr>
      <t>min</t>
    </r>
    <r>
      <rPr>
        <sz val="7"/>
        <rFont val="Calibri"/>
        <family val="2"/>
        <scheme val="minor"/>
      </rPr>
      <t>60-90cm, organDgg, Vorfr, Zwfr, Ackerzahl</t>
    </r>
  </si>
  <si>
    <r>
      <t>N</t>
    </r>
    <r>
      <rPr>
        <vertAlign val="subscript"/>
        <sz val="7"/>
        <color theme="1"/>
        <rFont val="Calibri"/>
        <family val="2"/>
        <scheme val="minor"/>
      </rPr>
      <t>min</t>
    </r>
    <r>
      <rPr>
        <sz val="7"/>
        <color theme="1"/>
        <rFont val="Calibri"/>
        <family val="2"/>
        <scheme val="minor"/>
      </rPr>
      <t>0-30, 0,67*N</t>
    </r>
    <r>
      <rPr>
        <vertAlign val="subscript"/>
        <sz val="7"/>
        <color theme="1"/>
        <rFont val="Calibri"/>
        <family val="2"/>
        <scheme val="minor"/>
      </rPr>
      <t>min</t>
    </r>
    <r>
      <rPr>
        <sz val="7"/>
        <color theme="1"/>
        <rFont val="Calibri"/>
        <family val="2"/>
        <scheme val="minor"/>
      </rPr>
      <t>30-60, 33% Aufwuchs</t>
    </r>
  </si>
  <si>
    <r>
      <t>0,33*Nmin0-30, 0,75*N</t>
    </r>
    <r>
      <rPr>
        <vertAlign val="subscript"/>
        <sz val="7"/>
        <color theme="1"/>
        <rFont val="Calibri"/>
        <family val="2"/>
        <scheme val="minor"/>
      </rPr>
      <t>min</t>
    </r>
    <r>
      <rPr>
        <sz val="7"/>
        <color theme="1"/>
        <rFont val="Calibri"/>
        <family val="2"/>
        <scheme val="minor"/>
      </rPr>
      <t>60-90, 67% Aufwuchs, organDgg, Vorfr, Zwfr, Ackerzahl</t>
    </r>
  </si>
  <si>
    <t xml:space="preserve">Die N-Menge im Erntegut errechnet sich aus dem TM-Ertrag und dem Rohproteingehalt (% in der Trockenmasse). Bei Mais wird mit dem Faktor 6,25 aus dem N-Gehalt der RP-Gehalt ermittelt. </t>
  </si>
  <si>
    <t>Erläuterung der Berechnung                          siehe unten (Funktionen).</t>
  </si>
  <si>
    <t>N-Obergrenze DüV</t>
  </si>
  <si>
    <t>Problem: DüV gibt keinen TM-Gehalt vor!</t>
  </si>
  <si>
    <t>Die DüV nennt bei Silomais zwar einen N-Bedarfswert, aber ohne Bezug zum TM-Gehalt.</t>
  </si>
  <si>
    <t>Im Vergleich zum Körnermais weist die DüV beim Silomais höhere N-Bedarfswerte aus!</t>
  </si>
  <si>
    <t>Bsp. 90 dt/ha K-Mais, N-Bedarfswert 200; Korn:Stroh-Verhältnis gemäß DüV 1:1, 180 dt FM-Ertrag * 0,86 = 155 dt TM-Ertrag</t>
  </si>
  <si>
    <t>Bsp. 450 dt/ha FM Silomais, N-Bedarfswert 200; 32 % TM = 144 dt/ha TM-Ertrag; 30 % TM = 135 dt/ha TM-Ertrag</t>
  </si>
  <si>
    <t>DüV-Bedarfswerte:</t>
  </si>
  <si>
    <t>Die DüV weist bei jeweils 80 dt/ha Kornertrag E-Weizen einen N-Bedarfswert von 260 zu, A-und B-Weizen einen von 230 und C-Weizen einen von 210.</t>
  </si>
  <si>
    <t>Die N-Bedarfswerte entsprechend der DüV für diese Erträge lägen bei 260 für E-, 235 für A- und B- und bei 220 kg N/ha für C-Weizen.</t>
  </si>
  <si>
    <t>Bei gleichen N-Abfuhren würde der E-Weizen damit einen um 40 kg/ha schlechteren N-Saldo aufweisen.</t>
  </si>
  <si>
    <t>In Sortenversuchen erreichen bei gleicher N-Düngung E-Weizen z.B. 80 dt/ha, A- und B-Weizen 85 dt/ha und C-Weizen 90 dt/ha, die Rohproteingehalte fallen in dieser Reihenfolge.</t>
  </si>
  <si>
    <t>Nmin 0-60 (in DüV: i.d.R. 0-90 cm)</t>
  </si>
  <si>
    <t>Abb.:  Lage der der 3 mehrjährigen WiWz-N-Düngungs-Versuchsstandorte in RP im Vergleich zur N-Obergrenze nach DüV</t>
  </si>
  <si>
    <t>Auch bei den Zuckerrüben wird der N-Sollwert vom Ertrag sowie vom Rohproteingehalt der Knollen und Blätter bestimmt. Diese sind jedoch nicht bekannt und die N-Gehalte der DüV sind nicht gerade aktuell. Daher wurde eine Sollwertfunktion aus Erträgen und angenommenen N-Gehalten abgeleitet (s. unten, multipliziert mit 0,93; d.h. die Zuckerrübe hat eine sehr hohe N-Effizienz).</t>
  </si>
  <si>
    <t>Aufn. * 0,9 in kg N/ha</t>
  </si>
  <si>
    <t>Tagesweide</t>
  </si>
  <si>
    <t>Weidezeit/Tag</t>
  </si>
  <si>
    <t>12 Std.</t>
  </si>
  <si>
    <t>24 Std.</t>
  </si>
  <si>
    <t>Anm.: Die DüV geht bei Beweidung von einer Ganztagsweide aus und rechnet (wg. des Verbleibs von Kot und Harn auf der Fläche) mit 50 % des N-Bedarfs im Vergleich zur Schnittnutzung (bei gleichem Bruttoertrag). In dieser Anwendung (Zeile 10) wurde auch die Möglichkeit der Tagesweide vorgesehen, wie z.B. für Milchkühe zwischen den Melkzeiten. Der N-Bedarf beträgt dann 75 % des Bedarfs einer Schnittnutzung bei gleichem Bruttoertrag.</t>
  </si>
  <si>
    <r>
      <rPr>
        <b/>
        <sz val="12"/>
        <rFont val="Calibri"/>
        <family val="2"/>
        <scheme val="minor"/>
      </rPr>
      <t xml:space="preserve">Sollwerte   </t>
    </r>
    <r>
      <rPr>
        <b/>
        <sz val="8"/>
        <rFont val="Calibri"/>
        <family val="2"/>
        <scheme val="minor"/>
      </rPr>
      <t xml:space="preserve">                                                         abh. von Ertrag und Höhe üNN</t>
    </r>
  </si>
  <si>
    <r>
      <rPr>
        <b/>
        <sz val="12"/>
        <rFont val="Calibri"/>
        <family val="2"/>
        <scheme val="minor"/>
      </rPr>
      <t xml:space="preserve">Sollwerte   </t>
    </r>
    <r>
      <rPr>
        <b/>
        <sz val="8"/>
        <rFont val="Calibri"/>
        <family val="2"/>
        <scheme val="minor"/>
      </rPr>
      <t xml:space="preserve">                                                                                      abh. von Ertrag und Höhe üNN</t>
    </r>
  </si>
  <si>
    <t xml:space="preserve">Der N-Bedarfswert errechnet sich bei Mähweidenutzung durch Multiplikation des Weideanteils am Ertrag (dt TM/ha) mit 0,5 (24-Std.-Beweidung) bzw. 0,75 (12-Std.-Beweidung) und Addition des Schnittanteils am Ertrag (dt TM/ha); anschließend durch Multiplikation der Summe mit dem Rohproteingehalt (% der TM, einheitlich für den gesamten Ertrag) und Division durch 6,25. Die Berechnung ist abhängig von den jeweiligen Weide- und Schnittanteilen, jedoch unabhängig von der Intensität der Nutzung. </t>
  </si>
  <si>
    <t>Anm.: Die DüV geht bei Beweidung von einer Ganztagsweide aus und rechnet (wg. des Verbleibs von Kot und Harn auf der Fläche) mit 50 % des N-Bedarfs im Vergleich zur Schnittnutzung (bei gleichem Bruttoertrag). In dieser Anwendung (Zeile 9) wurde auch die Möglichkeit der Tagesweide vorgesehen, wie z.B. für Milchkühe zwischen den Melkzeiten. Der N-Bedarf beträgt dann 75 % des Bedarfs einer Schnittnutzung bei gleichem Bruttoertrag.</t>
  </si>
  <si>
    <r>
      <t xml:space="preserve">Weidedauer/Tag                                                           </t>
    </r>
    <r>
      <rPr>
        <sz val="12"/>
        <color theme="1"/>
        <rFont val="Calibri"/>
        <family val="2"/>
        <scheme val="minor"/>
      </rPr>
      <t>(s. Erläuterung unten)</t>
    </r>
  </si>
  <si>
    <t>A</t>
  </si>
  <si>
    <t>B</t>
  </si>
  <si>
    <t>X</t>
  </si>
  <si>
    <t>Y</t>
  </si>
  <si>
    <t>%-Zahl 0 bis 100      eingeben</t>
  </si>
  <si>
    <r>
      <rPr>
        <b/>
        <sz val="12"/>
        <color rgb="FFFF0000"/>
        <rFont val="Calibri"/>
        <family val="2"/>
        <scheme val="minor"/>
      </rPr>
      <t>Obergrenze</t>
    </r>
    <r>
      <rPr>
        <b/>
        <sz val="12"/>
        <color rgb="FF0070C0"/>
        <rFont val="Calibri"/>
        <family val="2"/>
        <scheme val="minor"/>
      </rPr>
      <t xml:space="preserve"> gemäß Düngeverordnung kg N/ha</t>
    </r>
  </si>
  <si>
    <t>Die Sortengruppen weisen in Sortenversuchen unterschiedliche Erträge und Rohproteingehalte auf, aber letztlich die gleichen Korn-N-Erträge.</t>
  </si>
  <si>
    <t>mineralisch und organisch</t>
  </si>
  <si>
    <t>Anders als bei den Getreidearten, die als Back- oder Futtergetreide angebaut werden, gibt es für Braugersten keinen großen Spielraum beim  Rohproteingehalt. Dieser sollte bei 10,5 % liegen, gemessen in der Trockenmasse. Der ertragsabhängige Sollwert wird daher nicht über die Summe von Korn-N, Stroh-N und Restpflanzen-N gebildet, sondern nach einer quadratische Funktion berechnet (s. Abb. unten).</t>
  </si>
  <si>
    <t>Kürbis</t>
  </si>
  <si>
    <r>
      <t>N</t>
    </r>
    <r>
      <rPr>
        <b/>
        <vertAlign val="subscript"/>
        <sz val="11"/>
        <color theme="1"/>
        <rFont val="Calibri"/>
        <family val="2"/>
        <scheme val="minor"/>
      </rPr>
      <t>min</t>
    </r>
    <r>
      <rPr>
        <b/>
        <sz val="11"/>
        <color theme="1"/>
        <rFont val="Calibri"/>
        <family val="2"/>
        <scheme val="minor"/>
      </rPr>
      <t>-Gehalte in 0-90 cm zu 100%; Abschläge für Vor- und Zwischenfrucht, letztjährige organische Düngung (10 % vom Ges.-N), langjährige organische Düngung (10 kg N/GV), (wg. der Vegetationszeit alle stärker gewichtet als bei Getreide).                                                                                                      Zwischen Ackerzahl 25 und 90 wird die N-Düngempfehlung um 21 kg/ha differenziert.</t>
    </r>
  </si>
  <si>
    <t xml:space="preserve">Die N-Menge im Erntegut errechnet sich aus dem FM-Ertrag und dem N-Gehalt. In der DüV ist für Z-Rüben ein N-Gehalt von 0,18 kg/dt anegeben. Jüngere Untersuchungen zeigen jedoch, dass bei hohen Erträgen nur etwa 0,15 bs 0,12 kg N/dt erreicht werden. </t>
  </si>
  <si>
    <t>zweiter Rodetermin</t>
  </si>
  <si>
    <r>
      <t xml:space="preserve">erster Rodetermin                 </t>
    </r>
    <r>
      <rPr>
        <sz val="8"/>
        <color theme="1"/>
        <rFont val="Calibri"/>
        <family val="2"/>
        <scheme val="minor"/>
      </rPr>
      <t xml:space="preserve"> (bei nur einem Rodetermin diese Spalte benutzen)</t>
    </r>
  </si>
  <si>
    <t xml:space="preserve">Zielertrag FM dt/ha                </t>
  </si>
  <si>
    <t>ertragsabhängiger N-Bedarfswert</t>
  </si>
  <si>
    <r>
      <rPr>
        <b/>
        <sz val="12"/>
        <color rgb="FFFF0000"/>
        <rFont val="Calibri"/>
        <family val="2"/>
        <scheme val="minor"/>
      </rPr>
      <t xml:space="preserve">Obergrenze </t>
    </r>
    <r>
      <rPr>
        <b/>
        <sz val="12"/>
        <color rgb="FF0070C0"/>
        <rFont val="Calibri"/>
        <family val="2"/>
        <scheme val="minor"/>
      </rPr>
      <t>gemäß Düngeverordnung kg N/ha</t>
    </r>
  </si>
  <si>
    <t>Düngeempfehlung in kg N/ha</t>
  </si>
  <si>
    <t>Abzüge für ersten Rodungstermin</t>
  </si>
  <si>
    <t>Abzüge für zweiten Rodungstermin</t>
  </si>
  <si>
    <t>erster Rodetermin</t>
  </si>
  <si>
    <t xml:space="preserve"> t/ha bzw. bei Gülle m³/ha</t>
  </si>
  <si>
    <t>kg/t bzw. bei Gülle kg/m³</t>
  </si>
  <si>
    <t xml:space="preserve"> Winter-Futtergerste kg N/ha</t>
  </si>
  <si>
    <t>Düngeempfehlung            Sommer-Braugerste kg N/ha</t>
  </si>
  <si>
    <t>Ziel: 10,5 % RP i.d. Korn-TM</t>
  </si>
  <si>
    <t>Bsp: (100 - 0,5*70)/100 = 0,65</t>
  </si>
  <si>
    <r>
      <t xml:space="preserve">Strohfaktor = (100 - 0,5*Kornertrag)/100;                                          </t>
    </r>
    <r>
      <rPr>
        <sz val="10"/>
        <rFont val="Calibri"/>
        <family val="2"/>
        <scheme val="minor"/>
      </rPr>
      <t>(spielt nur für die N-Bilanz eine Rolle)</t>
    </r>
  </si>
  <si>
    <t>Diese N-Düngeempfehlung kann eine teilflächenspezifische N-Düngung abhängig von Höhenlage, Ackerzahl und Ertragsniveau unterstützen.</t>
  </si>
  <si>
    <t>DüV-N-Obergr. Kart.</t>
  </si>
  <si>
    <r>
      <t>N</t>
    </r>
    <r>
      <rPr>
        <b/>
        <vertAlign val="subscript"/>
        <sz val="11"/>
        <color theme="1"/>
        <rFont val="Calibri"/>
        <family val="2"/>
        <scheme val="minor"/>
      </rPr>
      <t>min</t>
    </r>
    <r>
      <rPr>
        <b/>
        <sz val="11"/>
        <color theme="1"/>
        <rFont val="Calibri"/>
        <family val="2"/>
        <scheme val="minor"/>
      </rPr>
      <t>-Gehalte in 0-30cm zu 100%, in 30-60cm zu 87,5% und in 60-90cm zu 75%; Abschläge für Vor- und Zwischenfrucht, letztjährige organische Düngung (10 % vom Ges.-N), langjährige organische Düngung (10 kg N/GV), (wg. der Vegetationszeit alle stärker gewichtet als bei Getreide). Berücksichtigung von Höhenlage und Ackerzahl. Zwischen Ackerzahl 25 und 90 wird die N-Düngempfehlung um 12 kg/ha differenziert.</t>
    </r>
  </si>
  <si>
    <r>
      <t>N</t>
    </r>
    <r>
      <rPr>
        <b/>
        <vertAlign val="subscript"/>
        <sz val="11"/>
        <rFont val="Calibri"/>
        <family val="2"/>
        <scheme val="minor"/>
      </rPr>
      <t>min</t>
    </r>
    <r>
      <rPr>
        <b/>
        <sz val="11"/>
        <rFont val="Calibri"/>
        <family val="2"/>
        <scheme val="minor"/>
      </rPr>
      <t>-Gehalte in 0-60 cm zu 100%; Abschläge für Vor- und Zwischenfrucht, letztjährige organische Düngung (10 % vom Ges.-N), langjährige organische Düngung (10 kg N/GV)), sowie Berücksichtigung von Höhenlage und Ackerzahl. Zwischen Ackerzahl 25 und 90 wird die N-Düngempfehlung um 12 kg/ha differenziert.</t>
    </r>
  </si>
  <si>
    <t>Auch bei den Kartoffeln wird der N-Sollwert vom Ertrag sowie vom N-Gehalt der Knollen und Blätter bestimmt. Dabei sinken mit zunehmendem Ertrag die N-Gehalte in den Knollen ab.</t>
  </si>
  <si>
    <t>0,265 bis 0,39 % N Knolle</t>
  </si>
  <si>
    <t>Die N-Menge im Erntegut errechnet sich aus dem FM-Ertrag und dem N-Gehalt. In der DüV ist für Kartoffeln ein N-Gehalt von 0,35 kg/dt angegeben.</t>
  </si>
  <si>
    <t>0,265 bis 0,425 % N Knolle</t>
  </si>
  <si>
    <t xml:space="preserve"> plus 35 kg  N (Blatt, Pfl.reste, N-Aufn.potemtial)</t>
  </si>
  <si>
    <t>Auch bei Frühkartoffeln wird der N-Sollwert vom Ertrag sowie vom N-Gehalt der Knollen und Blätter bestimmt. Dabei sinken mit zunehmendem Ertrag die N-Gehalte in den Knollen ab.</t>
  </si>
  <si>
    <r>
      <t>N</t>
    </r>
    <r>
      <rPr>
        <b/>
        <vertAlign val="subscript"/>
        <sz val="11"/>
        <rFont val="Calibri"/>
        <family val="2"/>
        <scheme val="minor"/>
      </rPr>
      <t>min</t>
    </r>
    <r>
      <rPr>
        <b/>
        <sz val="11"/>
        <rFont val="Calibri"/>
        <family val="2"/>
        <scheme val="minor"/>
      </rPr>
      <t>-Gehalte in 0-30 cm zu 100% und 30-60 cm zu 75 %; Abschläge für Vor- und Zwischenfrucht, letztjährige organische Düngung (10 % vom Ges.-N), langjährige organische Düngung (10 kg N/GV)), alles geringer bewertet als bei Kartoffeln oder Getreide, sowie Berücksichtigung von Höhenlage und Ackerzahl. Zwischen Ackerzahl 25 und 90 wird die N-Düngempfehlung um 12 kg/ha differenziert.</t>
    </r>
  </si>
  <si>
    <t xml:space="preserve"> plus 98 - 100 kg  N (Blatt, Pfl.reste, N-Aufn.potemtial)</t>
  </si>
  <si>
    <t>Getreide, Mais</t>
  </si>
  <si>
    <t>Achtung: Die Funktion der "N-Düngeempfehlung" ist theoretisch abgeleitet, so dass sie die nach DüV "flankiert". Sie kann jedoch eine teilflächenspezifische N-Düngung, basierend auf unterschiedlichen Etragspotenzialen etc. unterstützen.</t>
  </si>
  <si>
    <t>Wintergerste (DüV)</t>
  </si>
  <si>
    <t>Winter-Braugerste (Empfehlung)</t>
  </si>
  <si>
    <t>Sommergerste (DüV)</t>
  </si>
  <si>
    <t>mehr als 10,5 % RP anzustreben birgt ein hohes Riskio</t>
  </si>
  <si>
    <t>Wintergerste (DüV) = Winter-Futtergerste</t>
  </si>
  <si>
    <t>evtl. auch beide Gaben zu Vegetationsbeginn zusammenfassen</t>
  </si>
  <si>
    <r>
      <t>N</t>
    </r>
    <r>
      <rPr>
        <b/>
        <vertAlign val="subscript"/>
        <sz val="11"/>
        <color theme="1"/>
        <rFont val="Calibri"/>
        <family val="2"/>
        <scheme val="minor"/>
      </rPr>
      <t>min</t>
    </r>
    <r>
      <rPr>
        <b/>
        <sz val="11"/>
        <color theme="1"/>
        <rFont val="Calibri"/>
        <family val="2"/>
        <scheme val="minor"/>
      </rPr>
      <t xml:space="preserve">-Gehalte in 0 bis 60 cm, Abschläge für Vor- und Zwischenfrucht, letztjährige organische Düngung (10 % vom Ges.-N), langjährige organische Düngung (10 kg N/GV), Ackerzahl, Höhenlage, Korrektur für Abreife und RP-Gehalt (alle in der Höhe wie angezeigt). Zwischen Ackerzahl 25 und 90 wird die N-Düngempfehlung um 18 kg/ha differenziert (und damit stärker als beim übrigen Getreide).                                                                                                                                       </t>
    </r>
  </si>
  <si>
    <t>Mindest-N-Angebot zur Bestockung:</t>
  </si>
  <si>
    <t>Bei Braugerste kann es zu einer unzureichenden N-Versorgung bzw. zu einer unzureichenden Bestockung kommen, wenn im Oberboden zu wenig Nitrat vorhanden ist. Deswegen beinhaltet die Berechnung der N-Düngeempfehlung immer die Auffüllung der obersten Bodenschicht auf den "kleinen" Sollwert von 60 kg N/ha.</t>
  </si>
  <si>
    <t>dt TM*%RP/6,25*1,x+5</t>
  </si>
  <si>
    <t>= -0,00328 * dt TM/ha² + 1,775 * dt TM/ha + 13</t>
  </si>
  <si>
    <t>Annahme: 7,4 % RP bei 160 dt TM/ha (plus 10 dt TM = minus 0,125 % RP, und umgekehrt)</t>
  </si>
  <si>
    <t>Faktor 1,x = ertragsabhängig;  wg. Stoppeln, Wurzeln</t>
  </si>
  <si>
    <t>DüV mit Annahme: 32 % TM</t>
  </si>
  <si>
    <t>DüV mit Annahme: 28 % TM</t>
  </si>
  <si>
    <t>Auch beim Silomais wird der N-Sollwert vom Ertrag sowie vom Rohproteingehalt der Ganzpflanze bestimmt. Dieser liegt um 7,4 %, gemessen in der Trockenmasse (RP-Gehalte über 8 % sind für Höchsterträge nicht erforderlich).  Beim hier errechneten Sollwert werden ertragsabhängige Rohproteingehalte sowie Zuschläge für nicht erntbare Pflanzenteile berücksichtigt.</t>
  </si>
  <si>
    <t>entspricht: dt TM/ha * % RP/6,25 * Faktor 1 bis 1,2 plus 5</t>
  </si>
  <si>
    <t>Bitte lesen Sie diese Einführung, bevor Sie sie mit der Anwendung arbeiten.</t>
  </si>
  <si>
    <t>N-Düngeplaner RLP</t>
  </si>
  <si>
    <t>N-Sollw. Im Düngungsoptimum</t>
  </si>
  <si>
    <t>andere Beispiele (mit 24-Std.-Beweidung)</t>
  </si>
  <si>
    <t>Bewirtschaftungs-                            einheiten oder Schläge</t>
  </si>
  <si>
    <t>Bewirtschaftungseinheiten oder Schläge</t>
  </si>
  <si>
    <t>Z´Rüben ohne Blatternte</t>
  </si>
  <si>
    <t>Z´rüben mit Blatternte</t>
  </si>
  <si>
    <t>Frühjahr-eingearb. Nichtlegumin.</t>
  </si>
  <si>
    <t>Herbst-eingearb. Nichtlegumin.</t>
  </si>
  <si>
    <t>Frühjahr-eingearb. Leguminose</t>
  </si>
  <si>
    <t>Herbst-eingearb. Leguminose</t>
  </si>
  <si>
    <r>
      <t>max. N</t>
    </r>
    <r>
      <rPr>
        <b/>
        <sz val="9"/>
        <color theme="1"/>
        <rFont val="Calibri"/>
        <family val="2"/>
        <scheme val="minor"/>
      </rPr>
      <t>min</t>
    </r>
    <r>
      <rPr>
        <b/>
        <sz val="11"/>
        <color theme="1"/>
        <rFont val="Calibri"/>
        <family val="2"/>
        <scheme val="minor"/>
      </rPr>
      <t>-Tiefe in cm</t>
    </r>
  </si>
  <si>
    <t>Sommer-Braugerste (Empfehlung)</t>
  </si>
  <si>
    <t>Summe Marktfrüchte/Ackerbau</t>
  </si>
  <si>
    <t>Idee und Umsetzung: Dr. Friedhelm Fritsch</t>
  </si>
  <si>
    <t>Reinbestand</t>
  </si>
  <si>
    <t>mineral. Unterfußdüngung</t>
  </si>
  <si>
    <t>23 % ist Standard</t>
  </si>
  <si>
    <t>Ackergras                                      3-4 Schntte</t>
  </si>
  <si>
    <t>Durum (Hartweizen)</t>
  </si>
  <si>
    <r>
      <rPr>
        <b/>
        <sz val="12"/>
        <rFont val="Calibri"/>
        <family val="2"/>
        <scheme val="minor"/>
      </rPr>
      <t xml:space="preserve">Sollwerte </t>
    </r>
    <r>
      <rPr>
        <b/>
        <sz val="8"/>
        <rFont val="Calibri"/>
        <family val="2"/>
        <scheme val="minor"/>
      </rPr>
      <t>abh. von Ertrag und Höhe üNN</t>
    </r>
  </si>
  <si>
    <r>
      <t xml:space="preserve">Düngeempfehlung          </t>
    </r>
    <r>
      <rPr>
        <b/>
        <sz val="12"/>
        <color theme="3"/>
        <rFont val="Calibri"/>
        <family val="2"/>
        <scheme val="minor"/>
      </rPr>
      <t>Winter-Braugerste kg N/ha</t>
    </r>
  </si>
  <si>
    <t>Summe Weinbau</t>
  </si>
  <si>
    <t>Bodenart und Humusgehalt</t>
  </si>
  <si>
    <t>Rebenwachstum</t>
  </si>
  <si>
    <t>schwach</t>
  </si>
  <si>
    <t>stark</t>
  </si>
  <si>
    <t>Bodenpflege</t>
  </si>
  <si>
    <t>Offenhalten über Sommer</t>
  </si>
  <si>
    <t>andere</t>
  </si>
  <si>
    <t>Gassen</t>
  </si>
  <si>
    <t>jede</t>
  </si>
  <si>
    <t>jede zweite</t>
  </si>
  <si>
    <t>leicht, unter 1,5 % Humus</t>
  </si>
  <si>
    <t>leicht, 1,5 bis 2,5  % Humus</t>
  </si>
  <si>
    <t>leicht, über 2,5  % Humus</t>
  </si>
  <si>
    <t>mittel-schwer, unter 1,8 % Humus</t>
  </si>
  <si>
    <t>mittel-schwer, 1,8 bis 3 % Humus</t>
  </si>
  <si>
    <t>mittel-schwer, über 3 % Humus</t>
  </si>
  <si>
    <t>steinhaltig, unter 4 % Humus</t>
  </si>
  <si>
    <t>ha Fläche</t>
  </si>
  <si>
    <t>Nummer 2</t>
  </si>
  <si>
    <t>Fläche 3</t>
  </si>
  <si>
    <t>Schlag 4</t>
  </si>
  <si>
    <t>Basisbedarf         kg N/ha</t>
  </si>
  <si>
    <t>Schlag 2</t>
  </si>
  <si>
    <t xml:space="preserve"> auf Basis der Düngeverordnung erstellt vom Arbeitskreis Bodenkunde und Pflanzenernährung im Forschungsring des Deutschen Weinbaus.</t>
  </si>
  <si>
    <t>Grundlage dieser Berechnungen ist der Schätzrahmen "Stickstoff-Düngebedarfsermittlung für Ertragsanlagen" des Weinbaus,</t>
  </si>
  <si>
    <t>bis 14 t/ha</t>
  </si>
  <si>
    <t>Standortbezogene N-Obergrenze gemäß Düngeverordnung</t>
  </si>
  <si>
    <t xml:space="preserve">Berechnung des N-Düngebedarfs gemäß Düngeverordnung vom Mai 2017. </t>
  </si>
  <si>
    <t>Berechnung des N-Düngebedarfs gemäß Düngeverordnung vom Mai 2017. Die DüV differenziert nicht nach der Verwertungsrichtung der Wintergerste.</t>
  </si>
  <si>
    <t>Berechnung des N-Düngebedarfs gemäß Düngeverordnung vom Mai 2017. Die DüV differenziert nicht nach der Verwertungsrichtung. Die N-Obergrenze kann aber als Empfehlung für Sommer-Futtergerste betrachtet werden.</t>
  </si>
  <si>
    <t>Diese N-Düngeempfehlung kann eine teilflächenspezifische N-Düngung abhängig von Höhenlage, Ackerzahl, Ertragsniveau und Pflanzenaufwuchs unterstützen.</t>
  </si>
  <si>
    <t>Berechnung des Phosphat-Düngebedarfs gemäß Düngeverordnung vom Mai 2017</t>
  </si>
  <si>
    <t>Erntegut</t>
  </si>
  <si>
    <t>Korn</t>
  </si>
  <si>
    <t>Korn + anteiliges Stroh</t>
  </si>
  <si>
    <t>Berechnung des N-Düngebedarfs gemäß Düngeverordnung vom Mai 2017. E-Weizen haben einen deutlich höheren Bedarfswert als C-Weizen. Der RP-Gehalt im Korn wird hierbei nur indirekt berücksichtigt.</t>
  </si>
  <si>
    <t>Phosphat-Gehaltsklasse A (sehr niedrig)</t>
  </si>
  <si>
    <t>Phosphat-Gehaltsklasse B (niedrig)</t>
  </si>
  <si>
    <t>Phosphat-Gehaltsklasse C (mittel = anzustreben)</t>
  </si>
  <si>
    <t>Phosphat-Gehaltsklasse D (hoch)</t>
  </si>
  <si>
    <r>
      <t>kg P</t>
    </r>
    <r>
      <rPr>
        <vertAlign val="subscript"/>
        <sz val="11"/>
        <rFont val="Calibri"/>
        <family val="2"/>
        <scheme val="minor"/>
      </rPr>
      <t>2</t>
    </r>
    <r>
      <rPr>
        <sz val="11"/>
        <rFont val="Calibri"/>
        <family val="2"/>
        <scheme val="minor"/>
      </rPr>
      <t>O</t>
    </r>
    <r>
      <rPr>
        <vertAlign val="subscript"/>
        <sz val="11"/>
        <rFont val="Calibri"/>
        <family val="2"/>
        <scheme val="minor"/>
      </rPr>
      <t>5</t>
    </r>
    <r>
      <rPr>
        <sz val="11"/>
        <rFont val="Calibri"/>
        <family val="2"/>
        <scheme val="minor"/>
      </rPr>
      <t>/ha</t>
    </r>
  </si>
  <si>
    <t>Die Phosphat-Gehaltsklassen entnehmen Sie bitte Ihren Bodenuntersuchungsbefunden. In Gehaltsklasse E wird keine Düngung empfohlen.</t>
  </si>
  <si>
    <t>Es liegt daher nahe, dass die N-Bedarfswerte für E-Weizen deutlich großzügiger bemessen wurden als für C-Weizen.</t>
  </si>
  <si>
    <r>
      <t>Gemäß DüV dürfen Schläge mit Gehalten über 20 mg CAL- o. 3,6 mg EUF-löslichem P</t>
    </r>
    <r>
      <rPr>
        <vertAlign val="subscript"/>
        <sz val="9"/>
        <rFont val="Calibri"/>
        <family val="2"/>
        <scheme val="minor"/>
      </rPr>
      <t>2</t>
    </r>
    <r>
      <rPr>
        <sz val="9"/>
        <rFont val="Calibri"/>
        <family val="2"/>
        <scheme val="minor"/>
      </rPr>
      <t>O</t>
    </r>
    <r>
      <rPr>
        <vertAlign val="subscript"/>
        <sz val="9"/>
        <rFont val="Calibri"/>
        <family val="2"/>
        <scheme val="minor"/>
      </rPr>
      <t>5</t>
    </r>
    <r>
      <rPr>
        <sz val="9"/>
        <rFont val="Calibri"/>
        <family val="2"/>
        <scheme val="minor"/>
      </rPr>
      <t xml:space="preserve">/100 g Boden maximal bis zur voraussichtlichen P-Abfuhr mit dem Erntegut gedüngt werden. </t>
    </r>
    <r>
      <rPr>
        <b/>
        <sz val="9"/>
        <color rgb="FF0070C0"/>
        <rFont val="Calibri"/>
        <family val="2"/>
        <scheme val="minor"/>
      </rPr>
      <t>Dies entspricht der Empfehlung in Gehaltsklasse C</t>
    </r>
    <r>
      <rPr>
        <sz val="9"/>
        <rFont val="Calibri"/>
        <family val="2"/>
        <scheme val="minor"/>
      </rPr>
      <t>. Im Rahmen der Fruchtfolge kann dies als Vorratsdüngung für jeweils 3 Jahre im Voraus erfolgen.</t>
    </r>
  </si>
  <si>
    <t>Der hier kulturspezifisch ermittelte P-Bedarf sollte innerhalb der Fruchtfolge insbes. zu Kulturen wie Kart., Mais, Z-Rüben oder Gerste auf Vorrat gegeben werden. Nur bei geringer P-Versorgung empfiehlt sich eine jährliche Phosphatdüngung.</t>
  </si>
  <si>
    <r>
      <t>kg P</t>
    </r>
    <r>
      <rPr>
        <vertAlign val="subscript"/>
        <sz val="11"/>
        <color theme="1" tint="0.499984740745262"/>
        <rFont val="Calibri"/>
        <family val="2"/>
        <scheme val="minor"/>
      </rPr>
      <t>2</t>
    </r>
    <r>
      <rPr>
        <sz val="11"/>
        <color theme="1" tint="0.499984740745262"/>
        <rFont val="Calibri"/>
        <family val="2"/>
        <scheme val="minor"/>
      </rPr>
      <t>O</t>
    </r>
    <r>
      <rPr>
        <vertAlign val="subscript"/>
        <sz val="11"/>
        <color theme="1" tint="0.499984740745262"/>
        <rFont val="Calibri"/>
        <family val="2"/>
        <scheme val="minor"/>
      </rPr>
      <t>5</t>
    </r>
    <r>
      <rPr>
        <sz val="11"/>
        <color theme="1" tint="0.499984740745262"/>
        <rFont val="Calibri"/>
        <family val="2"/>
        <scheme val="minor"/>
      </rPr>
      <t>/ha</t>
    </r>
  </si>
  <si>
    <t>Knollen</t>
  </si>
  <si>
    <t>Knollen + anteiliges Kraut</t>
  </si>
  <si>
    <t>Rüben</t>
  </si>
  <si>
    <t>Rb. + Blatt</t>
  </si>
  <si>
    <t>Ertrag dt/ha</t>
  </si>
  <si>
    <t>Corn-Cob-Mix (60 % TM)</t>
  </si>
  <si>
    <r>
      <t>kg</t>
    </r>
    <r>
      <rPr>
        <b/>
        <sz val="14"/>
        <color theme="1"/>
        <rFont val="Calibri"/>
        <family val="2"/>
        <scheme val="minor"/>
      </rPr>
      <t>/ha</t>
    </r>
  </si>
  <si>
    <r>
      <t>kg P</t>
    </r>
    <r>
      <rPr>
        <vertAlign val="subscript"/>
        <sz val="11"/>
        <color theme="1" tint="0.499984740745262"/>
        <rFont val="Calibri"/>
        <family val="2"/>
        <scheme val="minor"/>
      </rPr>
      <t>2</t>
    </r>
    <r>
      <rPr>
        <sz val="11"/>
        <color theme="1" tint="0.499984740745262"/>
        <rFont val="Calibri"/>
        <family val="2"/>
        <scheme val="minor"/>
      </rPr>
      <t>O</t>
    </r>
    <r>
      <rPr>
        <vertAlign val="subscript"/>
        <sz val="11"/>
        <color theme="1" tint="0.499984740745262"/>
        <rFont val="Calibri"/>
        <family val="2"/>
        <scheme val="minor"/>
      </rPr>
      <t>5</t>
    </r>
    <r>
      <rPr>
        <sz val="11"/>
        <color theme="1" tint="0.499984740745262"/>
        <rFont val="Calibri"/>
        <family val="2"/>
        <scheme val="minor"/>
      </rPr>
      <t>/dt</t>
    </r>
  </si>
  <si>
    <t>Humus-gehalt</t>
  </si>
  <si>
    <t>P2O5</t>
  </si>
  <si>
    <t>N- und P205-Gehalte Grünlnad</t>
  </si>
  <si>
    <r>
      <t xml:space="preserve">kg                  </t>
    </r>
    <r>
      <rPr>
        <b/>
        <sz val="12"/>
        <color theme="1"/>
        <rFont val="Calibri"/>
        <family val="2"/>
        <scheme val="minor"/>
      </rPr>
      <t>gesamte Fläche</t>
    </r>
  </si>
  <si>
    <r>
      <rPr>
        <b/>
        <sz val="14"/>
        <color theme="1"/>
        <rFont val="Calibri"/>
        <family val="2"/>
        <scheme val="minor"/>
      </rPr>
      <t xml:space="preserve">kg </t>
    </r>
    <r>
      <rPr>
        <b/>
        <sz val="12"/>
        <color theme="1"/>
        <rFont val="Calibri"/>
        <family val="2"/>
        <scheme val="minor"/>
      </rPr>
      <t xml:space="preserve">                 </t>
    </r>
    <r>
      <rPr>
        <b/>
        <sz val="10"/>
        <color theme="1"/>
        <rFont val="Calibri"/>
        <family val="2"/>
        <scheme val="minor"/>
      </rPr>
      <t>gesamte Fläche</t>
    </r>
  </si>
  <si>
    <r>
      <rPr>
        <b/>
        <sz val="14"/>
        <color theme="1"/>
        <rFont val="Calibri"/>
        <family val="2"/>
        <scheme val="minor"/>
      </rPr>
      <t>kg</t>
    </r>
    <r>
      <rPr>
        <b/>
        <sz val="12"/>
        <color theme="1"/>
        <rFont val="Calibri"/>
        <family val="2"/>
        <scheme val="minor"/>
      </rPr>
      <t xml:space="preserve">                  </t>
    </r>
    <r>
      <rPr>
        <b/>
        <sz val="10"/>
        <color theme="1"/>
        <rFont val="Calibri"/>
        <family val="2"/>
        <scheme val="minor"/>
      </rPr>
      <t>gesamte Fläche</t>
    </r>
  </si>
  <si>
    <t>Ermittlung des N-Düngebedarfs als standortspezifische N-Obergrenze sowie der Phosphatabfuhr als Grundlage der P-Düngebedarfsermittlung</t>
  </si>
  <si>
    <r>
      <rPr>
        <b/>
        <sz val="12"/>
        <rFont val="Calibri"/>
        <family val="2"/>
        <scheme val="minor"/>
      </rPr>
      <t xml:space="preserve">Sollwerte   </t>
    </r>
    <r>
      <rPr>
        <b/>
        <sz val="8"/>
        <rFont val="Calibri"/>
        <family val="2"/>
        <scheme val="minor"/>
      </rPr>
      <t>abh. von Ertrag und Höhe üNN</t>
    </r>
  </si>
  <si>
    <r>
      <t>ertragsabh. N-Sollwert</t>
    </r>
    <r>
      <rPr>
        <b/>
        <sz val="9"/>
        <color theme="1"/>
        <rFont val="Calibri"/>
        <family val="2"/>
        <scheme val="minor"/>
      </rPr>
      <t xml:space="preserve">  (Korn-N + Stroh-N) * 0,94</t>
    </r>
  </si>
  <si>
    <t xml:space="preserve">Hier können Sie die "standortbezogenen N-Obergrenzen" für Ihre Rebflächen planen sowie die Phosphat-Abfuhr mit den Trauben als Grundlage der P-Düngebedarfsermittlung (s. Erläuterung unten) berechnen.                                                                                                                                                                                    </t>
  </si>
  <si>
    <t>Wie wird die zulässige Phosphatdüngung ermittelt?</t>
  </si>
  <si>
    <t>MgO</t>
  </si>
  <si>
    <r>
      <t>P</t>
    </r>
    <r>
      <rPr>
        <vertAlign val="subscript"/>
        <sz val="11"/>
        <color theme="1"/>
        <rFont val="Calibri"/>
        <family val="2"/>
        <scheme val="minor"/>
      </rPr>
      <t>2</t>
    </r>
    <r>
      <rPr>
        <sz val="11"/>
        <color theme="1"/>
        <rFont val="Calibri"/>
        <family val="2"/>
        <scheme val="minor"/>
      </rPr>
      <t>O</t>
    </r>
    <r>
      <rPr>
        <vertAlign val="subscript"/>
        <sz val="11"/>
        <color theme="1"/>
        <rFont val="Calibri"/>
        <family val="2"/>
        <scheme val="minor"/>
      </rPr>
      <t>5</t>
    </r>
  </si>
  <si>
    <r>
      <t>K</t>
    </r>
    <r>
      <rPr>
        <vertAlign val="subscript"/>
        <sz val="11"/>
        <color theme="1"/>
        <rFont val="Calibri"/>
        <family val="2"/>
        <scheme val="minor"/>
      </rPr>
      <t>2</t>
    </r>
    <r>
      <rPr>
        <sz val="11"/>
        <color theme="1"/>
        <rFont val="Calibri"/>
        <family val="2"/>
        <scheme val="minor"/>
      </rPr>
      <t>O</t>
    </r>
  </si>
  <si>
    <t>Nährstoffgehalte kg/dt</t>
  </si>
  <si>
    <t>Raps-Korn</t>
  </si>
  <si>
    <t>Raps-Korn + anteil. Stroh</t>
  </si>
  <si>
    <t>Sonnenblumen-Korn</t>
  </si>
  <si>
    <t>Zuckerrüben + anteil. Blatt</t>
  </si>
  <si>
    <t>Silomais (TM)</t>
  </si>
  <si>
    <t>Klee/Luzerne/-gras (TM)</t>
  </si>
  <si>
    <t>Feldgras (TM)</t>
  </si>
  <si>
    <t>Fruchtfolgen-Grunddüngungsplaner</t>
  </si>
  <si>
    <t>Anbaujahr</t>
  </si>
  <si>
    <t>Kultur</t>
  </si>
  <si>
    <t>freie Eingabe</t>
  </si>
  <si>
    <t>Nährstoffabfuhr kg/ha</t>
  </si>
  <si>
    <t>3-jährige Fruchtfolge</t>
  </si>
  <si>
    <t>4-jährige Fruchtfolge</t>
  </si>
  <si>
    <t>5-jährige Fruchtfolge</t>
  </si>
  <si>
    <t>6-jährige Fruchtfolge</t>
  </si>
  <si>
    <t>Summen</t>
  </si>
  <si>
    <t>Gehalts-klassen</t>
  </si>
  <si>
    <t>D</t>
  </si>
  <si>
    <t>Düngeempfehlung für 3 Jahre</t>
  </si>
  <si>
    <t>Düngeempfehlung für 4 Jahre</t>
  </si>
  <si>
    <t>Düngeempfehlung für 5 Jahre</t>
  </si>
  <si>
    <t>Düngeempfehlung für 6 Jahre</t>
  </si>
  <si>
    <r>
      <t>P</t>
    </r>
    <r>
      <rPr>
        <b/>
        <vertAlign val="subscript"/>
        <sz val="12"/>
        <color rgb="FFFF0000"/>
        <rFont val="Calibri"/>
        <family val="2"/>
        <scheme val="minor"/>
      </rPr>
      <t>2</t>
    </r>
    <r>
      <rPr>
        <b/>
        <sz val="12"/>
        <color rgb="FFFF0000"/>
        <rFont val="Calibri"/>
        <family val="2"/>
        <scheme val="minor"/>
      </rPr>
      <t>O</t>
    </r>
    <r>
      <rPr>
        <b/>
        <vertAlign val="subscript"/>
        <sz val="12"/>
        <color rgb="FFFF0000"/>
        <rFont val="Calibri"/>
        <family val="2"/>
        <scheme val="minor"/>
      </rPr>
      <t>5</t>
    </r>
  </si>
  <si>
    <r>
      <t>K</t>
    </r>
    <r>
      <rPr>
        <b/>
        <vertAlign val="subscript"/>
        <sz val="12"/>
        <color rgb="FF0070C0"/>
        <rFont val="Calibri"/>
        <family val="2"/>
        <scheme val="minor"/>
      </rPr>
      <t>2</t>
    </r>
    <r>
      <rPr>
        <b/>
        <sz val="12"/>
        <color rgb="FF0070C0"/>
        <rFont val="Calibri"/>
        <family val="2"/>
        <scheme val="minor"/>
      </rPr>
      <t>O</t>
    </r>
  </si>
  <si>
    <r>
      <t>Erntegut-Abfuhr kg P</t>
    </r>
    <r>
      <rPr>
        <b/>
        <vertAlign val="subscript"/>
        <sz val="12"/>
        <color theme="6" tint="-0.249977111117893"/>
        <rFont val="Calibri"/>
        <family val="2"/>
        <scheme val="minor"/>
      </rPr>
      <t>2</t>
    </r>
    <r>
      <rPr>
        <b/>
        <sz val="12"/>
        <color theme="6" tint="-0.249977111117893"/>
        <rFont val="Calibri"/>
        <family val="2"/>
        <scheme val="minor"/>
      </rPr>
      <t>O</t>
    </r>
    <r>
      <rPr>
        <b/>
        <vertAlign val="subscript"/>
        <sz val="12"/>
        <color theme="6" tint="-0.249977111117893"/>
        <rFont val="Calibri"/>
        <family val="2"/>
        <scheme val="minor"/>
      </rPr>
      <t>5</t>
    </r>
    <r>
      <rPr>
        <b/>
        <sz val="12"/>
        <color theme="6" tint="-0.249977111117893"/>
        <rFont val="Calibri"/>
        <family val="2"/>
        <scheme val="minor"/>
      </rPr>
      <t xml:space="preserve">/ha </t>
    </r>
    <r>
      <rPr>
        <b/>
        <sz val="10"/>
        <color theme="6" tint="-0.249977111117893"/>
        <rFont val="Calibri"/>
        <family val="2"/>
        <scheme val="minor"/>
      </rPr>
      <t>(Düngeempfehlung in Gehaltsklasse C)</t>
    </r>
  </si>
  <si>
    <r>
      <t>Erntegut-Abfuhr kg P</t>
    </r>
    <r>
      <rPr>
        <b/>
        <vertAlign val="subscript"/>
        <sz val="12"/>
        <color theme="6" tint="-0.249977111117893"/>
        <rFont val="Calibri"/>
        <family val="2"/>
        <scheme val="minor"/>
      </rPr>
      <t>2</t>
    </r>
    <r>
      <rPr>
        <b/>
        <sz val="12"/>
        <color theme="6" tint="-0.249977111117893"/>
        <rFont val="Calibri"/>
        <family val="2"/>
        <scheme val="minor"/>
      </rPr>
      <t>O</t>
    </r>
    <r>
      <rPr>
        <b/>
        <vertAlign val="subscript"/>
        <sz val="12"/>
        <color theme="6" tint="-0.249977111117893"/>
        <rFont val="Calibri"/>
        <family val="2"/>
        <scheme val="minor"/>
      </rPr>
      <t>5</t>
    </r>
    <r>
      <rPr>
        <b/>
        <sz val="12"/>
        <color theme="6" tint="-0.249977111117893"/>
        <rFont val="Calibri"/>
        <family val="2"/>
        <scheme val="minor"/>
      </rPr>
      <t xml:space="preserve">/ha                             </t>
    </r>
    <r>
      <rPr>
        <b/>
        <sz val="10"/>
        <color theme="6" tint="-0.249977111117893"/>
        <rFont val="Calibri"/>
        <family val="2"/>
        <scheme val="minor"/>
      </rPr>
      <t>(Düngeempfehlung in Gehaltsklasse C)</t>
    </r>
  </si>
  <si>
    <t>In Gehaltskl. A und B erhöhte, in D reduzierte und in E keine P-Düngung empfohlen</t>
  </si>
  <si>
    <r>
      <t>Erntegut-Abfuhr kg P</t>
    </r>
    <r>
      <rPr>
        <b/>
        <vertAlign val="subscript"/>
        <sz val="12"/>
        <color theme="6" tint="-0.249977111117893"/>
        <rFont val="Calibri"/>
        <family val="2"/>
        <scheme val="minor"/>
      </rPr>
      <t>2</t>
    </r>
    <r>
      <rPr>
        <b/>
        <sz val="12"/>
        <color theme="6" tint="-0.249977111117893"/>
        <rFont val="Calibri"/>
        <family val="2"/>
        <scheme val="minor"/>
      </rPr>
      <t>O</t>
    </r>
    <r>
      <rPr>
        <b/>
        <vertAlign val="subscript"/>
        <sz val="12"/>
        <color theme="6" tint="-0.249977111117893"/>
        <rFont val="Calibri"/>
        <family val="2"/>
        <scheme val="minor"/>
      </rPr>
      <t>5</t>
    </r>
    <r>
      <rPr>
        <b/>
        <sz val="12"/>
        <color theme="6" tint="-0.249977111117893"/>
        <rFont val="Calibri"/>
        <family val="2"/>
        <scheme val="minor"/>
      </rPr>
      <t xml:space="preserve">/ha, </t>
    </r>
    <r>
      <rPr>
        <b/>
        <sz val="10"/>
        <color theme="6" tint="-0.249977111117893"/>
        <rFont val="Calibri"/>
        <family val="2"/>
        <scheme val="minor"/>
      </rPr>
      <t>korrigiert um Rückfuhr mit Exkrementen der Weidetiere (Düngeempfehlung in Gehaltsklasse C)</t>
    </r>
  </si>
  <si>
    <t>Fehlende Kulturen hier eintragen</t>
  </si>
  <si>
    <t>Hier können Sie für verschiedene Fruchtfolgen den Bedarf an P, K und Mg planen. Die Gehaltsklassen entnehmen Sie bitte Ihren Bodenuntersuchungs-Ergebnissen.</t>
  </si>
  <si>
    <t>Weizen + anteil. Stroh</t>
  </si>
  <si>
    <t>Roggen + anteil. Stroh</t>
  </si>
  <si>
    <t>Triticale + anteil. Stroh</t>
  </si>
  <si>
    <t>Gerste + anteil. Stroh</t>
  </si>
  <si>
    <t>Hafer + anteil. Stroh</t>
  </si>
  <si>
    <t>Dinkel + anteil. Stroh</t>
  </si>
  <si>
    <t>Weizen-Korn</t>
  </si>
  <si>
    <t>Roggen-Korn</t>
  </si>
  <si>
    <t>Triticale-Korn</t>
  </si>
  <si>
    <t>Gerste-Korn</t>
  </si>
  <si>
    <t>Hafer-Korn</t>
  </si>
  <si>
    <r>
      <t xml:space="preserve">GPS-Getreide </t>
    </r>
    <r>
      <rPr>
        <sz val="11"/>
        <color rgb="FFFF0000"/>
        <rFont val="Calibri"/>
        <family val="2"/>
        <scheme val="minor"/>
      </rPr>
      <t>35 % TM</t>
    </r>
  </si>
  <si>
    <t>Dinkel-Korn (ohne Spelzen)</t>
  </si>
  <si>
    <t>Ackerbohnen-Korn</t>
  </si>
  <si>
    <t>Erbsen-Korn</t>
  </si>
  <si>
    <t>Erbsen + anteil. Stroh</t>
  </si>
  <si>
    <t>Sojabohnen-Korn</t>
  </si>
  <si>
    <t>Öllein-Korn</t>
  </si>
  <si>
    <t>Reitponys 300 kg Stall bP</t>
  </si>
  <si>
    <t>Reitponys 300 kg Stall/Weide bP</t>
  </si>
  <si>
    <t>Zuchtstuten Großpferd 600 kg bP</t>
  </si>
  <si>
    <t>Zuchtstuten Pony 350 kg bP</t>
  </si>
  <si>
    <t>Aufzuchtpferde Großpferd bP</t>
  </si>
  <si>
    <t>Aufzuchtpferde Pony bP</t>
  </si>
  <si>
    <t>Zielertrag dt/ha (bei 86 % TM)</t>
  </si>
  <si>
    <t>Zielertrag dt/ha (bei 91 % TM)</t>
  </si>
  <si>
    <t>Frühjahr-eingearb. 50%-Leguminose</t>
  </si>
  <si>
    <t>= Trockenmasse-Ertrag in dt/ha</t>
  </si>
  <si>
    <t>Frühjahr-eingearbeit. 50%-Leguminose</t>
  </si>
  <si>
    <t>Zweitfrucht (z.B. Mais/Hirse)</t>
  </si>
  <si>
    <t>Ackergras                               5 Schnitte</t>
  </si>
  <si>
    <t>Klee-/Luzernegras                  3-4 Schntte</t>
  </si>
  <si>
    <t>Sommerweizen</t>
  </si>
  <si>
    <t>Winterweizen C</t>
  </si>
  <si>
    <t>Sommerroggen</t>
  </si>
  <si>
    <t>Sommertriticale</t>
  </si>
  <si>
    <t>Kenaf-Ganzpfl., 28 % TM</t>
  </si>
  <si>
    <t>Flachs = Faserlein-Ganzpfl., 86 % TM</t>
  </si>
  <si>
    <t>Futterraps/-rübsen-Ganzpfl., 35 % TM</t>
  </si>
  <si>
    <t>Ganzpfl.-Gemenge 50 % Legum., 15 % TM</t>
  </si>
  <si>
    <t>Ganzpfl.-Gemenge ohne Legum., 15 % TM</t>
  </si>
  <si>
    <t>Sonnenblumen, 91 % TM</t>
  </si>
  <si>
    <t>Körnermais, 86 % TM</t>
  </si>
  <si>
    <r>
      <t xml:space="preserve">Silomais, </t>
    </r>
    <r>
      <rPr>
        <sz val="12"/>
        <color rgb="FF7030A0"/>
        <rFont val="Calibri"/>
        <family val="2"/>
        <scheme val="minor"/>
      </rPr>
      <t>28-30 % TM</t>
    </r>
  </si>
  <si>
    <t>Senf-Körner, 91 % TM</t>
  </si>
  <si>
    <t>Zwiebeln (Trockenzw.)</t>
  </si>
  <si>
    <t>Topinambur-Ganzpfl., 22 % TM</t>
  </si>
  <si>
    <t>Szarvasi-Riesenweizengras, 28 % TM</t>
  </si>
  <si>
    <t>Gehalts-Futterrüben (15 % TM)</t>
  </si>
  <si>
    <t>Öllein, 91 % TM</t>
  </si>
  <si>
    <t>Winterraps, 91 % TM</t>
  </si>
  <si>
    <t>Körnerlegum. -Start-N (ertragsunabhängig)</t>
  </si>
  <si>
    <t>Leindotter, 91 % TM</t>
  </si>
  <si>
    <t>steinhaltig, ab 4 % Humus</t>
  </si>
  <si>
    <r>
      <t xml:space="preserve">Die in den Tabellenblättern für die einzelnen Ackerbaukulturen vorgenommenen Berechnungen können zudem eine </t>
    </r>
    <r>
      <rPr>
        <b/>
        <sz val="12"/>
        <color theme="1"/>
        <rFont val="Calibri"/>
        <family val="2"/>
        <scheme val="minor"/>
      </rPr>
      <t xml:space="preserve">flächen- und sogar teilflächenspezifische N-Düngung </t>
    </r>
    <r>
      <rPr>
        <sz val="12"/>
        <color theme="1"/>
        <rFont val="Calibri"/>
        <family val="2"/>
        <scheme val="minor"/>
      </rPr>
      <t>unterstützen, die sich an Ertragspotentialen und Bodenunterschieden orientiert. Im unteren Teil der Tabellenblätter finden Sie Erläuterungen zu den kulturspezifischen Rechengängen.</t>
    </r>
  </si>
  <si>
    <t>Sommergetreide-GPS (35 % TM)</t>
  </si>
  <si>
    <t>Die Anwendung läuft unter Excel ab Version 2010, mit Einschränkungen an die Formatierungen und Zeilenumbrüche auch unter kostenlosen Programmen wie Open Office oder Libre Office. Von Feld zu Feld kommen Sie mit `Tab` oder mit einer der Pfeil-Tasten! Sie können aber auch mit dem Cursor direkt auf ein Feld zum Eintragen oder Auswählen gehen.</t>
  </si>
  <si>
    <t>1. Gabe: Menge</t>
  </si>
  <si>
    <t>ersten organischen Dünger hier eintragen, z.B. Rinder-Festmist</t>
  </si>
  <si>
    <t>zweiten organischen Dünger hier eintragen, z.B. Rinder-Gülle</t>
  </si>
  <si>
    <t>1. Gabe: Gesamt-N-Gehalt</t>
  </si>
  <si>
    <t>1. Gabe: N-Anrechnung</t>
  </si>
  <si>
    <t>2. Gabe: Menge</t>
  </si>
  <si>
    <t>2. Gabe: Gesamt-N-Gehalt</t>
  </si>
  <si>
    <t>2. Gabe: N-Anrechnung</t>
  </si>
  <si>
    <t>Ziel:                                                                  E-Wz 14,5, A-Wz 13,5, B-Wz 12,5,                                                  Sorteneigenschaften beachten!</t>
  </si>
  <si>
    <r>
      <t>N</t>
    </r>
    <r>
      <rPr>
        <vertAlign val="subscript"/>
        <sz val="7"/>
        <color theme="1"/>
        <rFont val="Calibri"/>
        <family val="2"/>
        <scheme val="minor"/>
      </rPr>
      <t>min</t>
    </r>
    <r>
      <rPr>
        <sz val="7"/>
        <color theme="1"/>
        <rFont val="Calibri"/>
        <family val="2"/>
        <scheme val="minor"/>
      </rPr>
      <t>0-30, 0,33*N</t>
    </r>
    <r>
      <rPr>
        <vertAlign val="subscript"/>
        <sz val="7"/>
        <color theme="1"/>
        <rFont val="Calibri"/>
        <family val="2"/>
        <scheme val="minor"/>
      </rPr>
      <t>min</t>
    </r>
    <r>
      <rPr>
        <sz val="7"/>
        <color theme="1"/>
        <rFont val="Calibri"/>
        <family val="2"/>
        <scheme val="minor"/>
      </rPr>
      <t>30-60cm</t>
    </r>
  </si>
  <si>
    <r>
      <t>N</t>
    </r>
    <r>
      <rPr>
        <vertAlign val="subscript"/>
        <sz val="7"/>
        <color theme="1"/>
        <rFont val="Calibri"/>
        <family val="2"/>
        <scheme val="minor"/>
      </rPr>
      <t>min</t>
    </r>
    <r>
      <rPr>
        <sz val="7"/>
        <color theme="1"/>
        <rFont val="Calibri"/>
        <family val="2"/>
        <scheme val="minor"/>
      </rPr>
      <t>0-30, 0,5*N</t>
    </r>
    <r>
      <rPr>
        <vertAlign val="subscript"/>
        <sz val="7"/>
        <color theme="1"/>
        <rFont val="Calibri"/>
        <family val="2"/>
        <scheme val="minor"/>
      </rPr>
      <t>min</t>
    </r>
    <r>
      <rPr>
        <sz val="7"/>
        <color theme="1"/>
        <rFont val="Calibri"/>
        <family val="2"/>
        <scheme val="minor"/>
      </rPr>
      <t>30-60cm</t>
    </r>
  </si>
  <si>
    <r>
      <t>N</t>
    </r>
    <r>
      <rPr>
        <vertAlign val="subscript"/>
        <sz val="7"/>
        <color theme="1"/>
        <rFont val="Calibri"/>
        <family val="2"/>
        <scheme val="minor"/>
      </rPr>
      <t>min</t>
    </r>
    <r>
      <rPr>
        <sz val="7"/>
        <color theme="1"/>
        <rFont val="Calibri"/>
        <family val="2"/>
        <scheme val="minor"/>
      </rPr>
      <t>0-30, 0,67*N</t>
    </r>
    <r>
      <rPr>
        <vertAlign val="subscript"/>
        <sz val="7"/>
        <color theme="1"/>
        <rFont val="Calibri"/>
        <family val="2"/>
        <scheme val="minor"/>
      </rPr>
      <t>min</t>
    </r>
    <r>
      <rPr>
        <sz val="7"/>
        <color theme="1"/>
        <rFont val="Calibri"/>
        <family val="2"/>
        <scheme val="minor"/>
      </rPr>
      <t>30-60cm</t>
    </r>
  </si>
  <si>
    <r>
      <t>0,25*N</t>
    </r>
    <r>
      <rPr>
        <vertAlign val="subscript"/>
        <sz val="7"/>
        <color theme="1"/>
        <rFont val="Calibri"/>
        <family val="2"/>
        <scheme val="minor"/>
      </rPr>
      <t>min</t>
    </r>
    <r>
      <rPr>
        <sz val="7"/>
        <color theme="1"/>
        <rFont val="Calibri"/>
        <family val="2"/>
        <scheme val="minor"/>
      </rPr>
      <t>30-60, organDgg, Vorfr, Zwfr, Ackerzahl</t>
    </r>
  </si>
  <si>
    <t>Kuhweide</t>
  </si>
  <si>
    <t>Heuwiese</t>
  </si>
  <si>
    <t>je 60 % Vor- und Zwischenfrucht, 25 % (von 10 % des aufgebr. N) organ. Dgg Vorjahr, 50 % Ackerzahlkorrektur, 60 %langj. organ. Dgg</t>
  </si>
  <si>
    <t>WiGetreide mit 25% Legum.-GPS (35 % TM)</t>
  </si>
  <si>
    <t>SoGetreide mit 25% Legum.-GPS (35 % TM)</t>
  </si>
  <si>
    <r>
      <t>kg N in gesamter Pflanze/ha</t>
    </r>
    <r>
      <rPr>
        <b/>
        <sz val="9"/>
        <color theme="1"/>
        <rFont val="Calibri"/>
        <family val="2"/>
        <scheme val="minor"/>
      </rPr>
      <t xml:space="preserve">                                              (Korn-N + Stroh-N) * 1,14</t>
    </r>
  </si>
  <si>
    <t>Organische Düngung zur Kultur</t>
  </si>
  <si>
    <r>
      <rPr>
        <b/>
        <sz val="12"/>
        <color rgb="FFFF0000"/>
        <rFont val="Calibri"/>
        <family val="2"/>
        <scheme val="minor"/>
      </rPr>
      <t xml:space="preserve">UFD </t>
    </r>
    <r>
      <rPr>
        <b/>
        <sz val="12"/>
        <color theme="1"/>
        <rFont val="Calibri"/>
        <family val="2"/>
        <scheme val="minor"/>
      </rPr>
      <t>und organische Düngung zur Kultur</t>
    </r>
  </si>
  <si>
    <t>zweiten Dünger hier eintragen, z.B. R-Gülle</t>
  </si>
  <si>
    <t>ersten Dünger hier eintragen, z.B. Festmist</t>
  </si>
  <si>
    <t>Gülle</t>
  </si>
  <si>
    <t>Bezeichnung oder Nutzungsform</t>
  </si>
  <si>
    <t>Bezeichnung oder Nutzungsform, z.B. Anzahl Schnitte/Jahr</t>
  </si>
  <si>
    <t>anrechenbar aus der organischenDüngung</t>
  </si>
  <si>
    <t>Festmist</t>
  </si>
  <si>
    <t>Rotklee/Luzerne                                                                      in Reinkultur</t>
  </si>
  <si>
    <t>hier ohne Berücksichtigung organischer Düngung</t>
  </si>
  <si>
    <t>SoGetreide mit 50% Legum.-GPS (35 % TM)</t>
  </si>
  <si>
    <t>WiGetreide mit 50% Legum.-GPS (35 % TM)</t>
  </si>
  <si>
    <t>Grassamen + mind. 2 Aufwüchse</t>
  </si>
  <si>
    <t>Ackergras/Grassamen/Klee/Luzerne</t>
  </si>
  <si>
    <t>Grassamen + 1 Aufwuchs (65dt TM/16,2% RP)</t>
  </si>
  <si>
    <t>Grünland                                                                             Kultur eintragen</t>
  </si>
  <si>
    <t>Grassamen (Welsch.Weidel) + 1 Aufwuchs (75dt TM/16,2% RP)</t>
  </si>
  <si>
    <t>Ackergras</t>
  </si>
  <si>
    <t>Kleegras</t>
  </si>
  <si>
    <t>Grassamen</t>
  </si>
  <si>
    <t>plus 3 Schn.</t>
  </si>
  <si>
    <t>plus 1 Schn.</t>
  </si>
  <si>
    <t>als Zweitfrucht</t>
  </si>
  <si>
    <r>
      <rPr>
        <b/>
        <sz val="11"/>
        <color rgb="FFFF0000"/>
        <rFont val="Calibri"/>
        <family val="2"/>
        <scheme val="minor"/>
      </rPr>
      <t>Grassamenernte und mind. zwei weitere Aufwüchse</t>
    </r>
    <r>
      <rPr>
        <sz val="11"/>
        <color rgb="FFFF0000"/>
        <rFont val="Calibri"/>
        <family val="2"/>
        <scheme val="minor"/>
      </rPr>
      <t xml:space="preserve"> </t>
    </r>
    <r>
      <rPr>
        <sz val="11"/>
        <color theme="1"/>
        <rFont val="Calibri"/>
        <family val="2"/>
        <scheme val="minor"/>
      </rPr>
      <t xml:space="preserve">werden wie Ackergras mit 3-4 Schnitten betrachtet, also z.B. 120 dt TM-Ertrag. Bei </t>
    </r>
    <r>
      <rPr>
        <b/>
        <sz val="11"/>
        <color rgb="FFFF0000"/>
        <rFont val="Calibri"/>
        <family val="2"/>
        <scheme val="minor"/>
      </rPr>
      <t xml:space="preserve">Grassamenernte mit einem weiteren Schnitt </t>
    </r>
    <r>
      <rPr>
        <sz val="11"/>
        <color theme="1"/>
        <rFont val="Calibri"/>
        <family val="2"/>
        <scheme val="minor"/>
      </rPr>
      <t xml:space="preserve">sind z.B. 65 dt TM/ha mit 16,2 % RP anzusetzen, bei Welschem oder Einjährigem Weidelgras auch 75 dt TM/ha mit 16,2 % RP. Bei </t>
    </r>
    <r>
      <rPr>
        <b/>
        <sz val="11"/>
        <color rgb="FFFF0000"/>
        <rFont val="Calibri"/>
        <family val="2"/>
        <scheme val="minor"/>
      </rPr>
      <t xml:space="preserve">Grassamenernte im Ansaatjahr in Zweitfruchtstellung </t>
    </r>
    <r>
      <rPr>
        <sz val="11"/>
        <color theme="1"/>
        <rFont val="Calibri"/>
        <family val="2"/>
        <scheme val="minor"/>
      </rPr>
      <t>(Einjähr. Weidelgras) sind z.B. 45 dt TM/ha mit 15 % RP anzusetzen.</t>
    </r>
  </si>
  <si>
    <t>Grassamen-Zweitfrucht (Einj. W-gras, 45dt TM/15% RP)</t>
  </si>
  <si>
    <t>Werte für Grassamen in Anlehnung an LULG Sachsen</t>
  </si>
  <si>
    <t>Werte ergänzt</t>
  </si>
  <si>
    <r>
      <t xml:space="preserve">Düngeempfehlung kg N/ha                                                  </t>
    </r>
    <r>
      <rPr>
        <sz val="10"/>
        <rFont val="Calibri"/>
        <family val="2"/>
        <scheme val="minor"/>
      </rPr>
      <t>auf Sandböden ggf. aufteilen</t>
    </r>
  </si>
  <si>
    <t>Winterbrauweizen</t>
  </si>
  <si>
    <t>Dinkel (mit Spelzen)</t>
  </si>
  <si>
    <t>Emmer (Einkorn)</t>
  </si>
  <si>
    <t>Körnerhirse</t>
  </si>
  <si>
    <t>Sommerraps o. Rübsen, 91 % TM</t>
  </si>
  <si>
    <t>Massen-Futterrrüben, 12 % TM</t>
  </si>
  <si>
    <t>Faserhanf-Ganzpfl., 40 % TM</t>
  </si>
  <si>
    <t>Winterweizen-GPS (35 % TM)</t>
  </si>
  <si>
    <t>Sonnenblumen-GPS (35 % TM)</t>
  </si>
  <si>
    <t>Wintertriticale o. -roggen-GPS (35 % TM)</t>
  </si>
  <si>
    <r>
      <t>kg P</t>
    </r>
    <r>
      <rPr>
        <vertAlign val="subscript"/>
        <sz val="12"/>
        <rFont val="Calibri"/>
        <family val="2"/>
        <scheme val="minor"/>
      </rPr>
      <t>2</t>
    </r>
    <r>
      <rPr>
        <sz val="12"/>
        <rFont val="Calibri"/>
        <family val="2"/>
        <scheme val="minor"/>
      </rPr>
      <t>O</t>
    </r>
    <r>
      <rPr>
        <vertAlign val="subscript"/>
        <sz val="12"/>
        <rFont val="Calibri"/>
        <family val="2"/>
        <scheme val="minor"/>
      </rPr>
      <t>5</t>
    </r>
    <r>
      <rPr>
        <sz val="12"/>
        <rFont val="Calibri"/>
        <family val="2"/>
        <scheme val="minor"/>
      </rPr>
      <t>/dt</t>
    </r>
  </si>
  <si>
    <t>Igniscum, 28 % TM</t>
  </si>
  <si>
    <t>Silphium = Durchwachsene Silphie, 28 % TM</t>
  </si>
  <si>
    <r>
      <t>kg P</t>
    </r>
    <r>
      <rPr>
        <vertAlign val="subscript"/>
        <sz val="12"/>
        <color theme="0" tint="-0.249977111117893"/>
        <rFont val="Calibri"/>
        <family val="2"/>
        <scheme val="minor"/>
      </rPr>
      <t>2</t>
    </r>
    <r>
      <rPr>
        <sz val="12"/>
        <color theme="0" tint="-0.249977111117893"/>
        <rFont val="Calibri"/>
        <family val="2"/>
        <scheme val="minor"/>
      </rPr>
      <t>O</t>
    </r>
    <r>
      <rPr>
        <vertAlign val="subscript"/>
        <sz val="12"/>
        <color theme="0" tint="-0.249977111117893"/>
        <rFont val="Calibri"/>
        <family val="2"/>
        <scheme val="minor"/>
      </rPr>
      <t>5</t>
    </r>
    <r>
      <rPr>
        <sz val="12"/>
        <color theme="0" tint="-0.249977111117893"/>
        <rFont val="Calibri"/>
        <family val="2"/>
        <scheme val="minor"/>
      </rPr>
      <t>/ha</t>
    </r>
  </si>
  <si>
    <t>Miscanthus Chinaschilf Ganzpfl., 80 % TM</t>
  </si>
  <si>
    <t>Tabak, Virgin lufttr., 86 % TM</t>
  </si>
  <si>
    <r>
      <rPr>
        <sz val="12"/>
        <rFont val="Calibri"/>
        <family val="2"/>
        <scheme val="minor"/>
      </rPr>
      <t>schwarz: DüV</t>
    </r>
    <r>
      <rPr>
        <sz val="12"/>
        <color rgb="FFFF0000"/>
        <rFont val="Calibri"/>
        <family val="2"/>
        <scheme val="minor"/>
      </rPr>
      <t xml:space="preserve">; rot: ST; </t>
    </r>
    <r>
      <rPr>
        <sz val="12"/>
        <color rgb="FF0070C0"/>
        <rFont val="Calibri"/>
        <family val="2"/>
        <scheme val="minor"/>
      </rPr>
      <t xml:space="preserve">blau: BY; </t>
    </r>
    <r>
      <rPr>
        <sz val="12"/>
        <color theme="6" tint="-0.499984740745262"/>
        <rFont val="Calibri"/>
        <family val="2"/>
        <scheme val="minor"/>
      </rPr>
      <t>grün=BW,</t>
    </r>
    <r>
      <rPr>
        <sz val="12"/>
        <color rgb="FF0070C0"/>
        <rFont val="Calibri"/>
        <family val="2"/>
        <scheme val="minor"/>
      </rPr>
      <t xml:space="preserve"> </t>
    </r>
    <r>
      <rPr>
        <sz val="12"/>
        <color theme="7"/>
        <rFont val="Calibri"/>
        <family val="2"/>
        <scheme val="minor"/>
      </rPr>
      <t>lila: RP</t>
    </r>
  </si>
  <si>
    <t>Tabak, Geudertheimer lufttr., 78 % TM</t>
  </si>
  <si>
    <r>
      <t>N</t>
    </r>
    <r>
      <rPr>
        <vertAlign val="subscript"/>
        <sz val="7"/>
        <color theme="1"/>
        <rFont val="Calibri"/>
        <family val="2"/>
        <scheme val="minor"/>
      </rPr>
      <t>min</t>
    </r>
    <r>
      <rPr>
        <sz val="7"/>
        <color theme="1"/>
        <rFont val="Calibri"/>
        <family val="2"/>
        <scheme val="minor"/>
      </rPr>
      <t>0-30, 0,25*N</t>
    </r>
    <r>
      <rPr>
        <vertAlign val="subscript"/>
        <sz val="7"/>
        <color theme="1"/>
        <rFont val="Calibri"/>
        <family val="2"/>
        <scheme val="minor"/>
      </rPr>
      <t>min</t>
    </r>
    <r>
      <rPr>
        <sz val="7"/>
        <color theme="1"/>
        <rFont val="Calibri"/>
        <family val="2"/>
        <scheme val="minor"/>
      </rPr>
      <t>30-60cm</t>
    </r>
  </si>
  <si>
    <t>Traubenertrag</t>
  </si>
  <si>
    <t>skelettreich, unter 7 % Humus</t>
  </si>
  <si>
    <t>skelettreich, ab 7 % Humus</t>
  </si>
  <si>
    <r>
      <t xml:space="preserve">Bodenart und Humusgehalt                      </t>
    </r>
    <r>
      <rPr>
        <b/>
        <sz val="10"/>
        <color theme="1"/>
        <rFont val="Calibri"/>
        <family val="2"/>
        <scheme val="minor"/>
      </rPr>
      <t>leicht = S und l`S;                                        mittel-schwer = sL bis T;                                                                                           steinhaltig = ab 20 % Steine;                                                                     skelettreich = ab 50 % Steine</t>
    </r>
  </si>
  <si>
    <t>Einsaat Dauerbegrünung (Gräser, Nichtlegum.) auf offengehaltenen Boden</t>
  </si>
  <si>
    <t>Einsaat Dauerbegrünung (Gräser, Nichtlegum.) nach Begrünungsumbruch</t>
  </si>
  <si>
    <t>etablierte Dauerbegrünung (Gräser, Nichtlegum.)</t>
  </si>
  <si>
    <t>Stören einer Dauerbegrünung (Gräser, Nichtlegum.)</t>
  </si>
  <si>
    <t>Umbruch einer Dauerbegrünung (Gräser, Nichtlegum.)  nach 5 Jahren</t>
  </si>
  <si>
    <t>Umbruch einer Dauerbegrünung (Gräser, Nichtlegum.)  nach 10 Jahren</t>
  </si>
  <si>
    <t xml:space="preserve">Walzen/Mulchen einer Dauerbegrünung ab 50 % Legum. </t>
  </si>
  <si>
    <t xml:space="preserve">Umbruch einer Dauerbegrünung ab 50 % Legum. </t>
  </si>
  <si>
    <t xml:space="preserve">Umbruch einer Dauerbegrünung bis 50 % Legum. </t>
  </si>
  <si>
    <t>Abdeckung mit Rinde, Stroh, Holzhäcksel etc. (Schonung des Bodenwassers)</t>
  </si>
  <si>
    <t>t/ha</t>
  </si>
  <si>
    <t>kg N/t</t>
  </si>
  <si>
    <t>Wert in Spalte M übernehmen</t>
  </si>
  <si>
    <t>Anrechnung von N aus organischer Düngung der Vorjahre</t>
  </si>
  <si>
    <t>Hilfsberechnung zum Ausfüllen der Spalte M</t>
  </si>
  <si>
    <t>kg N/ha aus organischer Düngung der Vorjahre</t>
  </si>
  <si>
    <t>% N-Anrechnung                (s. Tab. rechts)</t>
  </si>
  <si>
    <r>
      <t>2. N-Gabe</t>
    </r>
    <r>
      <rPr>
        <b/>
        <vertAlign val="subscript"/>
        <sz val="12"/>
        <rFont val="Calibri"/>
        <family val="2"/>
        <scheme val="minor"/>
      </rPr>
      <t xml:space="preserve"> (ab Schossbeginn)</t>
    </r>
  </si>
  <si>
    <r>
      <t>0,33*N</t>
    </r>
    <r>
      <rPr>
        <vertAlign val="subscript"/>
        <sz val="7"/>
        <rFont val="Calibri"/>
        <family val="2"/>
        <scheme val="minor"/>
      </rPr>
      <t>min</t>
    </r>
    <r>
      <rPr>
        <sz val="7"/>
        <rFont val="Calibri"/>
        <family val="2"/>
        <scheme val="minor"/>
      </rPr>
      <t>30-60, 0,5*N</t>
    </r>
    <r>
      <rPr>
        <vertAlign val="subscript"/>
        <sz val="7"/>
        <rFont val="Calibri"/>
        <family val="2"/>
        <scheme val="minor"/>
      </rPr>
      <t>min</t>
    </r>
    <r>
      <rPr>
        <sz val="7"/>
        <rFont val="Calibri"/>
        <family val="2"/>
        <scheme val="minor"/>
      </rPr>
      <t>60-90cm, organ Dgg, Vorfr, Zwfr, Ackerzahl</t>
    </r>
  </si>
  <si>
    <t>Nmin 0-30, 67 % Nmin 30-60</t>
  </si>
  <si>
    <t>33 % Nmin 30-60, 50 % Nmin 60-90, je 75 % Vor- und Zwischenfrucht, 40 % (von 10 % des aufgebr. N) organ. Dgg Vorjahr, Ackerzahlkorrektur, 75 % langj. organ. Dgg</t>
  </si>
  <si>
    <t>Raps-Aufwuchs im Spätherbst</t>
  </si>
  <si>
    <r>
      <rPr>
        <b/>
        <sz val="14"/>
        <color theme="1"/>
        <rFont val="Calibri"/>
        <family val="2"/>
        <scheme val="minor"/>
      </rPr>
      <t>kg</t>
    </r>
    <r>
      <rPr>
        <b/>
        <sz val="12"/>
        <color theme="1"/>
        <rFont val="Calibri"/>
        <family val="2"/>
        <scheme val="minor"/>
      </rPr>
      <t xml:space="preserve">                  </t>
    </r>
    <r>
      <rPr>
        <b/>
        <sz val="10"/>
        <color theme="1"/>
        <rFont val="Calibri"/>
        <family val="2"/>
        <scheme val="minor"/>
      </rPr>
      <t>ges. Fläche</t>
    </r>
  </si>
  <si>
    <r>
      <rPr>
        <b/>
        <sz val="14"/>
        <color theme="1"/>
        <rFont val="Calibri"/>
        <family val="2"/>
        <scheme val="minor"/>
      </rPr>
      <t xml:space="preserve">kg </t>
    </r>
    <r>
      <rPr>
        <b/>
        <sz val="12"/>
        <color theme="1"/>
        <rFont val="Calibri"/>
        <family val="2"/>
        <scheme val="minor"/>
      </rPr>
      <t xml:space="preserve">                 </t>
    </r>
    <r>
      <rPr>
        <b/>
        <sz val="10"/>
        <color theme="1"/>
        <rFont val="Calibri"/>
        <family val="2"/>
        <scheme val="minor"/>
      </rPr>
      <t>ges. Fläche</t>
    </r>
  </si>
  <si>
    <t>leer</t>
  </si>
  <si>
    <t>AHL 28</t>
  </si>
  <si>
    <t>AHL 30</t>
  </si>
  <si>
    <t>NP 20/20</t>
  </si>
  <si>
    <t>NP-Lösung 10/34</t>
  </si>
  <si>
    <t>NPK 15+15+15</t>
  </si>
  <si>
    <t>NPK 13+13+21</t>
  </si>
  <si>
    <t>NPK 20+8+8</t>
  </si>
  <si>
    <t>% N-Anrechnung</t>
  </si>
  <si>
    <t>Dünger aus Horn, Haar, Federn</t>
  </si>
  <si>
    <t>Dünger aus Fleisch und Knochen</t>
  </si>
  <si>
    <t>Schweine-Festmist, Gärreste-fest</t>
  </si>
  <si>
    <t>Rinder-Festmist</t>
  </si>
  <si>
    <t>Pferde-, Schaf-, Ziegen-Festmist</t>
  </si>
  <si>
    <t>Schweinegülle, flüssig</t>
  </si>
  <si>
    <t>Rindergülle, flüssige Gärreste</t>
  </si>
  <si>
    <t>Feststoff-Separat aus Schweinegülle</t>
  </si>
  <si>
    <t>Geflügel- und Kaninchen-Fesmist</t>
  </si>
  <si>
    <t>Leguminosentransfermulch</t>
  </si>
  <si>
    <t>Leguminosen- u.a. Körnerschrote</t>
  </si>
  <si>
    <t>Schlempe</t>
  </si>
  <si>
    <t>Traubentrester</t>
  </si>
  <si>
    <t>Nutzen Sie die Tabelle rechts außen</t>
  </si>
  <si>
    <t>1. Düngergabe</t>
  </si>
  <si>
    <t>Bewirtschaftungs-                            einheit oder Schlag</t>
  </si>
  <si>
    <t>Düngemittel</t>
  </si>
  <si>
    <t>Düngemittel (Tab. unten)</t>
  </si>
  <si>
    <t>Die Liste der Düngemittel kann ergänzt und überschrieben werden!</t>
  </si>
  <si>
    <t>Nährstoffgehalt kg/dt</t>
  </si>
  <si>
    <t>% N-Wirkung</t>
  </si>
  <si>
    <t>Schweine-Festmist</t>
  </si>
  <si>
    <t>Pferde-Festmist</t>
  </si>
  <si>
    <t>andere organische Dünger 1</t>
  </si>
  <si>
    <t>andere organische Dünger 2</t>
  </si>
  <si>
    <t>andere organische Dünger 3</t>
  </si>
  <si>
    <t>Rinder-Jauche</t>
  </si>
  <si>
    <t>KAS</t>
  </si>
  <si>
    <t>ASS</t>
  </si>
  <si>
    <t>AS-Harnstoff 33</t>
  </si>
  <si>
    <t>AS-Harnstoff 38</t>
  </si>
  <si>
    <t>Amm.nitrat m. Schwefel 24</t>
  </si>
  <si>
    <t>Ammoniumsulfat AS</t>
  </si>
  <si>
    <t xml:space="preserve">N-Düngerlösung </t>
  </si>
  <si>
    <t>DAP</t>
  </si>
  <si>
    <t>Triplephosphat</t>
  </si>
  <si>
    <t>Datum der Düngung</t>
  </si>
  <si>
    <t>2. Düngergabe</t>
  </si>
  <si>
    <t>3. Düngergabe</t>
  </si>
  <si>
    <t>4. Düngergabe</t>
  </si>
  <si>
    <t>5. Düngergabe</t>
  </si>
  <si>
    <t>Nährstoffausscheidungen pro Jahr und Tier</t>
  </si>
  <si>
    <t>Code</t>
  </si>
  <si>
    <t>Festmist, Jauche, Weidehaltung</t>
  </si>
  <si>
    <t>Rinderaufz. GL konv. 0 - 27 Monate bP</t>
  </si>
  <si>
    <t>Rinderaufz. GL ext. 0 - 27 Monate bP</t>
  </si>
  <si>
    <t>Rinderaufz. AL Weide 0 - 27 Monate bP</t>
  </si>
  <si>
    <t>Rinderaufz. AL Stall 0 - 27 Monate bP</t>
  </si>
  <si>
    <t xml:space="preserve">Milchkuh GL mit Weide </t>
  </si>
  <si>
    <t>Milchkuh GL ohne Weide , mit Heu</t>
  </si>
  <si>
    <t>Milchkuh AL mit Weide</t>
  </si>
  <si>
    <t>Milchkuh AL ohne Weide, mit Heu</t>
  </si>
  <si>
    <t>Milchkuh leichte Rasse</t>
  </si>
  <si>
    <t>Kälberaufz. 16 Wochen bP</t>
  </si>
  <si>
    <t>Rosa-Kalbfleisch 50 - 350 kg bP</t>
  </si>
  <si>
    <t>Kälbermast 50  - 250 kg bP</t>
  </si>
  <si>
    <t>Formeln (x = jährliche Milchleistung pro Kuh in kg)</t>
  </si>
  <si>
    <t>Kälbermast 50 - 260 kg bP</t>
  </si>
  <si>
    <t xml:space="preserve">Ausscheidung </t>
  </si>
  <si>
    <t>Lagerbedarf</t>
  </si>
  <si>
    <t>Fresseraufz. 80 - 210 kg U-Futter bP</t>
  </si>
  <si>
    <t>Haltungsform</t>
  </si>
  <si>
    <t>kg N bis 8000 kg</t>
  </si>
  <si>
    <t>kg N ab 8000 kg</t>
  </si>
  <si>
    <t>t Festmist 6M bis 8000 kg Leistung</t>
  </si>
  <si>
    <t>t Festmist 6M ab 8000 kg Leistung</t>
  </si>
  <si>
    <t>m³ Gülle 6M</t>
  </si>
  <si>
    <t>m³ Jauche 6M</t>
  </si>
  <si>
    <t>Fresseraufz. 80 - 210 kg N-/P-red. bP</t>
  </si>
  <si>
    <t>Milchkuh GL mit Weide</t>
  </si>
  <si>
    <t>0,0075x + 69</t>
  </si>
  <si>
    <t>0,007x + 73</t>
  </si>
  <si>
    <t>0,0035x + 15</t>
  </si>
  <si>
    <t>0,002x + 27</t>
  </si>
  <si>
    <t>0,004x + 110</t>
  </si>
  <si>
    <t>(0,15x + 6300)/1000</t>
  </si>
  <si>
    <t>(0,25x + 5500)/1000</t>
  </si>
  <si>
    <t>(0,25x + 8000)/1000</t>
  </si>
  <si>
    <t>(0,1x + 2400)/1000</t>
  </si>
  <si>
    <t>Bullenmast 45 - 675 kg bP</t>
  </si>
  <si>
    <t>Milchkuh GL ohne Weide mit Heu</t>
  </si>
  <si>
    <t>0,0075x + 64</t>
  </si>
  <si>
    <t>0,0085x + 56</t>
  </si>
  <si>
    <t>0,003x + 19</t>
  </si>
  <si>
    <t>0,0025x + 23</t>
  </si>
  <si>
    <t>0,0025x + 114</t>
  </si>
  <si>
    <t>0,0045x + 98</t>
  </si>
  <si>
    <t>Bullenmast 45 -750 kg bP</t>
  </si>
  <si>
    <t>0,007x + 61</t>
  </si>
  <si>
    <t>0,009x + 44,667</t>
  </si>
  <si>
    <t>0,0025x + 22</t>
  </si>
  <si>
    <t>0,007x + 67</t>
  </si>
  <si>
    <t>0,004x + 91</t>
  </si>
  <si>
    <t>Bullenmast 80 - 750 kg bP</t>
  </si>
  <si>
    <t>Milchkuh AL ohne Weide mit Heu</t>
  </si>
  <si>
    <t>0,0075x + 55</t>
  </si>
  <si>
    <t>0,0093x + 40,833</t>
  </si>
  <si>
    <t>0,003x + 18</t>
  </si>
  <si>
    <t>0,006x + 68</t>
  </si>
  <si>
    <t>0,0045x + 80</t>
  </si>
  <si>
    <t>Bullenmast 210 - 750 kg bP</t>
  </si>
  <si>
    <t>Milchkuh Ackerfutter (leichte Rassen)</t>
  </si>
  <si>
    <t>0,0075x + 38,5</t>
  </si>
  <si>
    <t>0,01x + 21</t>
  </si>
  <si>
    <t>0,003x + 12</t>
  </si>
  <si>
    <t>0,0045x + 1,5</t>
  </si>
  <si>
    <t>0,006x + 54</t>
  </si>
  <si>
    <t>(0,25x + 5650)/1000</t>
  </si>
  <si>
    <t>Mutterkuh 500 kg 6 Monate Säugez. bP</t>
  </si>
  <si>
    <t>Ausscheidung pro Mastplatz und Jahr in kg</t>
  </si>
  <si>
    <t>Mutterkuh 700 kg 6 Monate Säugez. bP</t>
  </si>
  <si>
    <t>Art der Fütterung</t>
  </si>
  <si>
    <r>
      <t>kg P</t>
    </r>
    <r>
      <rPr>
        <vertAlign val="subscript"/>
        <sz val="12"/>
        <rFont val="Calibri"/>
        <family val="2"/>
        <scheme val="minor"/>
      </rPr>
      <t>2</t>
    </r>
    <r>
      <rPr>
        <sz val="12"/>
        <rFont val="Calibri"/>
        <family val="2"/>
        <scheme val="minor"/>
      </rPr>
      <t>O</t>
    </r>
    <r>
      <rPr>
        <vertAlign val="subscript"/>
        <sz val="12"/>
        <rFont val="Calibri"/>
        <family val="2"/>
        <scheme val="minor"/>
      </rPr>
      <t>5</t>
    </r>
  </si>
  <si>
    <r>
      <t>kg K</t>
    </r>
    <r>
      <rPr>
        <vertAlign val="subscript"/>
        <sz val="12"/>
        <rFont val="Calibri"/>
        <family val="2"/>
        <scheme val="minor"/>
      </rPr>
      <t>2</t>
    </r>
    <r>
      <rPr>
        <sz val="12"/>
        <rFont val="Calibri"/>
        <family val="2"/>
        <scheme val="minor"/>
      </rPr>
      <t>O</t>
    </r>
  </si>
  <si>
    <t>Mutterkuh 700 kg 9 Monate Säugez. bP</t>
  </si>
  <si>
    <t>Universalfutter</t>
  </si>
  <si>
    <t>0,0058x + 7,0627</t>
  </si>
  <si>
    <t>0,0009x + 4,1288</t>
  </si>
  <si>
    <t>0,0023x + 3,9271</t>
  </si>
  <si>
    <t>N.P. red</t>
  </si>
  <si>
    <t>0,0055x + 6,8356</t>
  </si>
  <si>
    <t>0,0014x + 3,0932</t>
  </si>
  <si>
    <t>0,0028x + 3,3915</t>
  </si>
  <si>
    <t>Stark N.P. red</t>
  </si>
  <si>
    <t>0,0052x + 6,0136</t>
  </si>
  <si>
    <t>0,0006x + 3,3542</t>
  </si>
  <si>
    <t>0,0024x + 3,522</t>
  </si>
  <si>
    <t>Spez. Ferkelaufz. 7 Durchg. U-Futter bP</t>
  </si>
  <si>
    <t>Spez. Ferkelaufz. 7 Durchg. N-P-red. bP</t>
  </si>
  <si>
    <t>Spez. Ferkelaufz. 7 Durchg. stark N-P-red. bP</t>
  </si>
  <si>
    <t>Spezl. Ferkelaufz. 8 Durchg. U-Futter bP</t>
  </si>
  <si>
    <t>Spez. Ferkelaufz. 8 Durchg. N-P-red. bP</t>
  </si>
  <si>
    <t>Spez. Ferkelaufz. 8 Durchg. stark N-P-red. bP</t>
  </si>
  <si>
    <t>Jungsauenaufz. 28 - 115 kg U-Futter bP</t>
  </si>
  <si>
    <t>Jungsauenaufz. 28 - 115 kg N-P-red. bP</t>
  </si>
  <si>
    <t>Jungsaueneingl. 95 - 135 kg U-Futter bP</t>
  </si>
  <si>
    <t>Jungsaueneingl. 95 -135 kg N-P-red. bP</t>
  </si>
  <si>
    <t>Mastschwein U-Futter bP</t>
  </si>
  <si>
    <t>Mastschwein N-P-red. bP</t>
  </si>
  <si>
    <t>Mastschwein stark N-P-red. bP</t>
  </si>
  <si>
    <t>Jungebermast 2,7 Durchg. U-Futter bP</t>
  </si>
  <si>
    <t>Jungebermast 2,7 Durchg. N-P-red. bP</t>
  </si>
  <si>
    <t>Junghennenaufz. 3,5 kg Zuw. U-Futter bP</t>
  </si>
  <si>
    <t>Legehennenhalt. 17,6 kg Eimasse U-Futter bP</t>
  </si>
  <si>
    <t>Legehennenhalt. 17,6 kg Eimasse N-P-red. bP</t>
  </si>
  <si>
    <t>Hähnchenmast 39 Tage U-Futter bP</t>
  </si>
  <si>
    <t xml:space="preserve">Hähnchenmast 34 - 38 Tage U-Futter bP </t>
  </si>
  <si>
    <t>Hähnchenmast 34 - 38 Tage N-P-red. bP</t>
  </si>
  <si>
    <t>Hähnchenmast 30 - 33 Tage U-Futter bP</t>
  </si>
  <si>
    <t>Hähnchenmast 30 - 33 Tage N-P-red. bP</t>
  </si>
  <si>
    <t>Hähnchenmast bis 29 Tage U-Futter bP</t>
  </si>
  <si>
    <t>Putenmast Hahn 21 Wochen U.Futter eT</t>
  </si>
  <si>
    <t>Putenmast Hahn 21 Wochen N-P-red.  eT</t>
  </si>
  <si>
    <t>Putenmast Henne 16 Wochen U-Futter  eT</t>
  </si>
  <si>
    <t>Putenmast Henne 16 Wochen N-P-red.  eT</t>
  </si>
  <si>
    <t>Putenmast Hahn 6. - 21. Woche U-Futter  eT</t>
  </si>
  <si>
    <t xml:space="preserve">Putenmast Hahn 6. - 21. Woche N-P-red.  eT </t>
  </si>
  <si>
    <t>Putenmast Henne 6. - 16. Woche U-Futter  eT</t>
  </si>
  <si>
    <t>Putenmast Henne 6. - 16. Woche N-P-red.  eT</t>
  </si>
  <si>
    <t>Putenmast gem. geschlechtl. U-Futter  eT</t>
  </si>
  <si>
    <t>Putenaufz. bis 5. Woche U-Futter  eT</t>
  </si>
  <si>
    <t>Reitpferde 500 - 600 kg Stall bP</t>
  </si>
  <si>
    <t>Reitpferde 500 - 600 kg Stall/Weide bP</t>
  </si>
  <si>
    <t>Kaninchen + 52 Jungtiere bis 0,6 kg bP</t>
  </si>
  <si>
    <t>Kaninchen + 52 Jungtiere bis 3 kg bP</t>
  </si>
  <si>
    <t>Kaninchenmast 0,6 - 3 kg bP</t>
  </si>
  <si>
    <t>Mutterschaf + 1,5 Lämmer/Schaf konv. bP</t>
  </si>
  <si>
    <t>Mutterschaf + 1,1 Lämmer/Schaf ext. bP</t>
  </si>
  <si>
    <t>Milchziege 800 kg + 1,5 Lämmer/Jahr bP</t>
  </si>
  <si>
    <t>Damtiere + 0,85 Kalb/Jahr) bP</t>
  </si>
  <si>
    <t>eigene Angaben</t>
  </si>
  <si>
    <t>Ermittlung der Großvieheinheiten</t>
  </si>
  <si>
    <t>Bezeichnung</t>
  </si>
  <si>
    <t>GV</t>
  </si>
  <si>
    <t>Ponys und Kleinpferde</t>
  </si>
  <si>
    <t>Andere Pferde unter 3 Jahren</t>
  </si>
  <si>
    <t>Andere Pferde 3 Jahre alt und älter</t>
  </si>
  <si>
    <t>Kälber und Jungrinder unter 1 Jahr</t>
  </si>
  <si>
    <t>Jungrinder 1 bis unter 2 Jahre</t>
  </si>
  <si>
    <t>Färsen, Milchkühe, Mutterkühe, Masttiere</t>
  </si>
  <si>
    <t xml:space="preserve">Schafe unter 1 Jahr einschl. Lämmer </t>
  </si>
  <si>
    <t>Schafe 1 Jahr alt und älter</t>
  </si>
  <si>
    <t>Ferkel</t>
  </si>
  <si>
    <t>Schweine unter 50 kg LG</t>
  </si>
  <si>
    <t>Mastschweine über 50 kg LG</t>
  </si>
  <si>
    <t>Zuchtschweine, Eber über 50 kg LG</t>
  </si>
  <si>
    <t>Legehennen 0,5 Jahr und älter</t>
  </si>
  <si>
    <t>Küken und Legehennen &lt; halbes Jahr</t>
  </si>
  <si>
    <t>Schlacht- und Masthähne und -hühner</t>
  </si>
  <si>
    <t>Gänse</t>
  </si>
  <si>
    <t>Enten</t>
  </si>
  <si>
    <t>Truthühner</t>
  </si>
  <si>
    <t>Für Geflügel (eine Ausnahme bei Putenmast), Pferde, Schafe, Ziegen und Damwild gibt es keine bzw. keine Daten für Gülle! Tragen Sie dort die Mist- bzw. Weidetage ein</t>
  </si>
  <si>
    <t>Weidetag-Rechner</t>
  </si>
  <si>
    <t>Abkürzungen:
bP = belegter Platz/ eT = erzeugtes Tier
GL = Grünland/ AL = Ackerland
U-Futter = Universal- o. Standardfutter
N-P-red. = N-P-reduziertes Futter</t>
  </si>
  <si>
    <t xml:space="preserve">Bei "Abgabe an andere Betriebe" muss der Wirtschaftsdünger der hier eingegebenen Anzahl von Tieren vollständig zuzuordnen sein! Ist diese Zuordnung nicht möglich bzw. wird eine bestimmte Menge Wirtschaftsdünger (ohne Bezug zu einer konkreten Anzahl Tiere) abgegeben, so wird dies im Tabellenblatt "Organ. Dünger" eingegeben. In diesem Fall wählen Sie hier bei Verwertung "auf selbst bewirtschaft. Flächen" aus! </t>
  </si>
  <si>
    <t>Tage</t>
  </si>
  <si>
    <t>Stunden pro Tag</t>
  </si>
  <si>
    <t>Weidetage</t>
  </si>
  <si>
    <t>zur Übernahme in Spalte I</t>
  </si>
  <si>
    <t>Tierhaltungsform</t>
  </si>
  <si>
    <r>
      <t>Verwertung der Wirtschaftsdünger</t>
    </r>
    <r>
      <rPr>
        <sz val="11"/>
        <color theme="1"/>
        <rFont val="Calibri"/>
        <family val="2"/>
        <scheme val="minor"/>
      </rPr>
      <t xml:space="preserve"> (ausgenommen sind die Tage mit Weidegang)</t>
    </r>
  </si>
  <si>
    <t>kg Milchleistung bei Kühen bzw.                                        g Tageszunahmen bei Mastschweinen</t>
  </si>
  <si>
    <t>Anzahl Tiere bzw. belegte Plätze</t>
  </si>
  <si>
    <t xml:space="preserve">      Tage/Jahr  (1 Jahr = 365 Tage)</t>
  </si>
  <si>
    <t>kg Nährstoffausscheidung pro Einheit</t>
  </si>
  <si>
    <r>
      <t>P</t>
    </r>
    <r>
      <rPr>
        <b/>
        <vertAlign val="subscript"/>
        <sz val="11"/>
        <color theme="1"/>
        <rFont val="Calibri"/>
        <family val="2"/>
        <scheme val="minor"/>
      </rPr>
      <t>2</t>
    </r>
    <r>
      <rPr>
        <b/>
        <sz val="11"/>
        <color theme="1"/>
        <rFont val="Calibri"/>
        <family val="2"/>
        <scheme val="minor"/>
      </rPr>
      <t>O</t>
    </r>
    <r>
      <rPr>
        <b/>
        <vertAlign val="subscript"/>
        <sz val="11"/>
        <color theme="1"/>
        <rFont val="Calibri"/>
        <family val="2"/>
        <scheme val="minor"/>
      </rPr>
      <t>5</t>
    </r>
  </si>
  <si>
    <r>
      <t>K</t>
    </r>
    <r>
      <rPr>
        <b/>
        <vertAlign val="subscript"/>
        <sz val="11"/>
        <color theme="1"/>
        <rFont val="Calibri"/>
        <family val="2"/>
        <scheme val="minor"/>
      </rPr>
      <t>2</t>
    </r>
    <r>
      <rPr>
        <b/>
        <sz val="11"/>
        <color theme="1"/>
        <rFont val="Calibri"/>
        <family val="2"/>
        <scheme val="minor"/>
      </rPr>
      <t>O</t>
    </r>
  </si>
  <si>
    <t>Abgabe Gülle, Mist, Jauche an andere Betriebe</t>
  </si>
  <si>
    <t>mit Gülle, Festmist, Jauche im eigenen Betrieb</t>
  </si>
  <si>
    <t>mit Weide-         haltung</t>
  </si>
  <si>
    <t>mit                         Gär-         resten der eigenen BGA</t>
  </si>
  <si>
    <t>auf selbst bewirtschaft. Flächen</t>
  </si>
  <si>
    <t>kg/dt FM</t>
  </si>
  <si>
    <t>N-Obergrenze</t>
  </si>
  <si>
    <r>
      <t xml:space="preserve">dt FM                         </t>
    </r>
    <r>
      <rPr>
        <sz val="11"/>
        <color theme="1"/>
        <rFont val="Calibri"/>
        <family val="2"/>
        <scheme val="minor"/>
      </rPr>
      <t xml:space="preserve">    (1 m³ Gülle etc. = 10 dt)</t>
    </r>
  </si>
  <si>
    <t>Menge x Gehalt</t>
  </si>
  <si>
    <t>Rapsextraktionsschrot</t>
  </si>
  <si>
    <t>Mosttrub flüssig (1 hl = 1 dt)</t>
  </si>
  <si>
    <t>Es wird empfohlen, nicht benötigte Spalten, wie z.B. die einer 4. oder 5. Düngergabe, zu verschmälern, um die Seitenansicht und den Ausdruck zu vereinfachen!</t>
  </si>
  <si>
    <t>Geflügel- und Kaninchen-Festmist</t>
  </si>
  <si>
    <t>Bsp. Eins</t>
  </si>
  <si>
    <t>Summe Grünland</t>
  </si>
  <si>
    <t>Summe Feldfutter</t>
  </si>
  <si>
    <t>Düngemittel-Tabelle</t>
  </si>
  <si>
    <t>Anzahl Tage</t>
  </si>
  <si>
    <t>Anzahl Tiere</t>
  </si>
  <si>
    <t>Tierart</t>
  </si>
  <si>
    <t>Weide-tage</t>
  </si>
  <si>
    <t>Stunden je Tag</t>
  </si>
  <si>
    <t>Weidetagebuch</t>
  </si>
  <si>
    <t>Rinder-Festmist 25% TM</t>
  </si>
  <si>
    <t>Rinder-Jauche 2% TM</t>
  </si>
  <si>
    <t>Schweinegülle 5% TM</t>
  </si>
  <si>
    <t>Schweine-Festmist 25% TM</t>
  </si>
  <si>
    <t>Pferde-Festmist 30% TM</t>
  </si>
  <si>
    <t>Hühnertrockenkot 40% TM</t>
  </si>
  <si>
    <t>Hühnertrockenkot 70% TM</t>
  </si>
  <si>
    <t>Hühnertrockenkot 55% TM</t>
  </si>
  <si>
    <t>Geflügelmist 50% TM</t>
  </si>
  <si>
    <t>Rindergülle 7,5% TM</t>
  </si>
  <si>
    <t>Trester frisch 40% TM, 1 m³ = 5 dt</t>
  </si>
  <si>
    <t>Trester kompostiert 40% TM</t>
  </si>
  <si>
    <t>Weinhefe flüssig 20% TM (1 hl = 1 dt)</t>
  </si>
  <si>
    <t>Weinhefe filtriert 40% TM (1 hl = 0,7 dt)</t>
  </si>
  <si>
    <t>Haarmehlpellets 94% TM</t>
  </si>
  <si>
    <t>Hornspäne 88% TM</t>
  </si>
  <si>
    <t>Fleischknochenmehl 92% TM</t>
  </si>
  <si>
    <t>Kartoffelschlempe 5% TM</t>
  </si>
  <si>
    <t>Ackerbohnenschrot 88% TM</t>
  </si>
  <si>
    <t>Vinasse 66% TM</t>
  </si>
  <si>
    <t>Bioabfall-Kompost 61% TM</t>
  </si>
  <si>
    <t>Grüngut-Kompost 59% TM</t>
  </si>
  <si>
    <t>Champignonerde 33% TM</t>
  </si>
  <si>
    <t>Schaf-, Ziegenmist 30% TM</t>
  </si>
  <si>
    <t>Sicherungskopie</t>
  </si>
  <si>
    <t>Mineralische und organische Dünger</t>
  </si>
  <si>
    <t>10 % des Ges.-N der organ. Dgg. zu Vorkulturen im Vorjahr in kg N/ha</t>
  </si>
  <si>
    <t>Die Angaben werden in die folg. Tab.blätter übernommen.</t>
  </si>
  <si>
    <t>organ. Dgg. zu Vorkulturen des Vorjahres</t>
  </si>
  <si>
    <t>organ. Dgg. Zu Vorkulturen des Vorjahres: 10 % vom aufgebr. Ges.-N</t>
  </si>
  <si>
    <r>
      <t>N</t>
    </r>
    <r>
      <rPr>
        <vertAlign val="subscript"/>
        <sz val="9"/>
        <color theme="1"/>
        <rFont val="Calibri"/>
        <family val="2"/>
        <scheme val="minor"/>
      </rPr>
      <t>min</t>
    </r>
    <r>
      <rPr>
        <sz val="9"/>
        <color theme="1"/>
        <rFont val="Calibri"/>
        <family val="2"/>
        <scheme val="minor"/>
      </rPr>
      <t>-Beprobungstiefe, sofern ausreichend tiefgründig: Wintergetr., Mais, etc.: bis 90 cm                                               Sommerget., Kart., etc.: bis 60 cm</t>
    </r>
  </si>
  <si>
    <t>kg im Durchschnitt pro ha</t>
  </si>
  <si>
    <t>ha Ackerfrüchte</t>
  </si>
  <si>
    <r>
      <t>N</t>
    </r>
    <r>
      <rPr>
        <b/>
        <vertAlign val="subscript"/>
        <sz val="12"/>
        <color theme="1"/>
        <rFont val="Calibri"/>
        <family val="2"/>
        <scheme val="minor"/>
      </rPr>
      <t>verf</t>
    </r>
    <r>
      <rPr>
        <b/>
        <sz val="12"/>
        <color theme="1"/>
        <rFont val="Calibri"/>
        <family val="2"/>
        <scheme val="minor"/>
      </rPr>
      <t xml:space="preserve"> </t>
    </r>
    <r>
      <rPr>
        <b/>
        <sz val="11"/>
        <color theme="1"/>
        <rFont val="Calibri"/>
        <family val="2"/>
        <scheme val="minor"/>
      </rPr>
      <t>kg/ha</t>
    </r>
  </si>
  <si>
    <r>
      <rPr>
        <b/>
        <sz val="12"/>
        <color theme="1"/>
        <rFont val="Calibri"/>
        <family val="2"/>
        <scheme val="minor"/>
      </rPr>
      <t>N</t>
    </r>
    <r>
      <rPr>
        <b/>
        <vertAlign val="subscript"/>
        <sz val="12"/>
        <color theme="1"/>
        <rFont val="Calibri"/>
        <family val="2"/>
        <scheme val="minor"/>
      </rPr>
      <t>ges</t>
    </r>
    <r>
      <rPr>
        <b/>
        <sz val="11"/>
        <color theme="1"/>
        <rFont val="Calibri"/>
        <family val="2"/>
        <scheme val="minor"/>
      </rPr>
      <t xml:space="preserve"> kg/ha</t>
    </r>
  </si>
  <si>
    <r>
      <t>P</t>
    </r>
    <r>
      <rPr>
        <b/>
        <vertAlign val="subscript"/>
        <sz val="12"/>
        <color theme="1"/>
        <rFont val="Calibri"/>
        <family val="2"/>
        <scheme val="minor"/>
      </rPr>
      <t>2</t>
    </r>
    <r>
      <rPr>
        <b/>
        <sz val="12"/>
        <color theme="1"/>
        <rFont val="Calibri"/>
        <family val="2"/>
        <scheme val="minor"/>
      </rPr>
      <t>O</t>
    </r>
    <r>
      <rPr>
        <b/>
        <vertAlign val="subscript"/>
        <sz val="12"/>
        <color theme="1"/>
        <rFont val="Calibri"/>
        <family val="2"/>
        <scheme val="minor"/>
      </rPr>
      <t>5</t>
    </r>
    <r>
      <rPr>
        <b/>
        <sz val="12"/>
        <color theme="1"/>
        <rFont val="Calibri"/>
        <family val="2"/>
        <scheme val="minor"/>
      </rPr>
      <t xml:space="preserve"> </t>
    </r>
    <r>
      <rPr>
        <b/>
        <sz val="11"/>
        <color theme="1"/>
        <rFont val="Calibri"/>
        <family val="2"/>
        <scheme val="minor"/>
      </rPr>
      <t>kg/ha</t>
    </r>
  </si>
  <si>
    <t>Summe Düngung in kg pro ha</t>
  </si>
  <si>
    <r>
      <t>N</t>
    </r>
    <r>
      <rPr>
        <b/>
        <vertAlign val="subscript"/>
        <sz val="12"/>
        <color theme="1"/>
        <rFont val="Calibri"/>
        <family val="2"/>
        <scheme val="minor"/>
      </rPr>
      <t>verf</t>
    </r>
  </si>
  <si>
    <r>
      <rPr>
        <b/>
        <sz val="12"/>
        <color theme="1"/>
        <rFont val="Calibri"/>
        <family val="2"/>
        <scheme val="minor"/>
      </rPr>
      <t>N</t>
    </r>
    <r>
      <rPr>
        <b/>
        <vertAlign val="subscript"/>
        <sz val="12"/>
        <color theme="1"/>
        <rFont val="Calibri"/>
        <family val="2"/>
        <scheme val="minor"/>
      </rPr>
      <t>ges</t>
    </r>
  </si>
  <si>
    <t>Welches Ertragsziel kann man bei der Düngebedarfs-Ermittlung zugrundelegen?</t>
  </si>
  <si>
    <t>Im Sinne der DüV: Der anstrebbare Ertrag entspricht dem tatsächlichen Ertragsniveau im Durchschnitt der letzten 5 Jahre (in Nitrat-belasteten Gebieten sind die Jahre 2015 bis 2019 maßgeblich). Weicht das tatsächliche Ertragsniveau in einem dieser 5 Jahre um mehr als 20 % vom Ertragsniveau des jeweils vorangegangenen Jahres ab, kann statt des tatsächlichen Ertragsniveaus, das im Jahr der Abweichung erreicht wurde, das Ertragsniveau des jeweils vorangegangenen Jahres für die Ermittlung des Durchschnitts herangezogen werden. In der Praxis sind Erträge oft nicht genau bekannt, besonders wenn nicht alle Erträge vermarktet werden oder noch nicht vermarktet worden sind. Oftmals kann nur geschätzt werden. Eine Grundlage hierfür können die vom Statistischen Landesamt ermittelten Durchschnittserträge auf Ebene der Landkreise sein. Es können anfänglich aber auch die Basiserträge der Düngeverordnung (wie in dieser Anwendung hinterlegt) herangezogen werden. Werden höhere Erträge angesetzt, müssen diese erklärbar sein bzw. belegt werden können.</t>
  </si>
  <si>
    <r>
      <t>Gemäß DüV dürfen Schläge mit Gehalten über 20 mg CAL- o. 3,6 mg EUF-löslichem P</t>
    </r>
    <r>
      <rPr>
        <b/>
        <vertAlign val="subscript"/>
        <sz val="12"/>
        <color rgb="FF002060"/>
        <rFont val="Calibri"/>
        <family val="2"/>
        <scheme val="minor"/>
      </rPr>
      <t>2</t>
    </r>
    <r>
      <rPr>
        <b/>
        <sz val="12"/>
        <color rgb="FF002060"/>
        <rFont val="Calibri"/>
        <family val="2"/>
        <scheme val="minor"/>
      </rPr>
      <t>O</t>
    </r>
    <r>
      <rPr>
        <b/>
        <vertAlign val="subscript"/>
        <sz val="12"/>
        <color rgb="FF002060"/>
        <rFont val="Calibri"/>
        <family val="2"/>
        <scheme val="minor"/>
      </rPr>
      <t>5</t>
    </r>
    <r>
      <rPr>
        <b/>
        <sz val="12"/>
        <color rgb="FF002060"/>
        <rFont val="Calibri"/>
        <family val="2"/>
        <scheme val="minor"/>
      </rPr>
      <t xml:space="preserve">/100 g Boden maximal bis zur voraussichtlichen P-Abfuhr mit dem Erntegut gedüngt werden. Dies entspricht der Empfehlung in Gehaltsklasse C, die damit zur Begrenzung bei höherer P-Versorgung wird. Die P-Düngung kann als Vorratsdüngung für jeweils 3 Jahre im Voraus erfolgen. </t>
    </r>
  </si>
  <si>
    <t>Im Sinne der DüV: Der anstrebbare Ertrag entspricht dem tatsächlichen Ertragsniveau im Durchschnitt der letzten 5 Jahre, in den Nitrat-belasteten Gebieten sind die Jahre 2015 bis 2019 maßgeblich. Weicht das tatsächliche Ertragsniveau in einem dieser 5 Jahre um mehr als 20 % vom Ertragsniveau des jeweils vorangegangenen Jahres ab, kann statt des tatsächlichen Ertragsniveaus, das im Jahr der Abweichung erreicht wurde, das Ertragsniveau des jeweils vorangegangenen Jahres für die Ermittlung des Durchschnitts herangezogen werden.</t>
  </si>
  <si>
    <t>Im Sinne der DüV: Der anstrebbare Ertrag entspricht dem tatsächlichen Ertragsniveau im Durchschnitt der letzten 5 Jahre, in Nitrat-belasteten Gebieten sind die Jahre 2015 bis 2019 maßgeblich. Weicht das tatsächliche Ertragsniveau in einem dieser 5 Jahre um mehr als 20 % vom Ertragsniveau des jeweils vorangegangenen Jahres ab, kann statt des tatsächlichen Ertragsniveaus, das im Jahr der Abweichung erreicht wurde, das Ertragsniveau des jeweils vorangegangenen Jahres für die Ermittlung des Durchschnitts herangezogen werden. Genauso verhält es sich mit dem Rohproteingehalt. In der Praxis sind Erträge oft nicht genau bekannt. Eine Grundlage hierfür können die vom Statistischen Landesamt ermittelten Durchschnittserträge auf Ebene der Landkreise sein. Es können aber auch die Basiserträge der Düngeverordnung (wie in dieser Anwendung hinterlegt) herangezogen werden. Werden höhere Erträge angesetzt, müssen diese erklärbar sein, z.B. über die Grundfutteraufnahme der Tiere. Oftmals kann nur geschätzt werden, z.B. über genutzte Aufwuchshöhen oder über aus der Fütterungsberatung bekannte Grundfutteraufnahmen.</t>
  </si>
  <si>
    <r>
      <t>Gemäß DüV dürfen Schläge mit Gehalten über 20 mg CAL- o. 3,6 mg EUF-löslichem P</t>
    </r>
    <r>
      <rPr>
        <b/>
        <vertAlign val="subscript"/>
        <sz val="12"/>
        <color rgb="FF002060"/>
        <rFont val="Calibri"/>
        <family val="2"/>
        <scheme val="minor"/>
      </rPr>
      <t>2</t>
    </r>
    <r>
      <rPr>
        <b/>
        <sz val="12"/>
        <color rgb="FF002060"/>
        <rFont val="Calibri"/>
        <family val="2"/>
        <scheme val="minor"/>
      </rPr>
      <t>O</t>
    </r>
    <r>
      <rPr>
        <b/>
        <vertAlign val="subscript"/>
        <sz val="12"/>
        <color rgb="FF002060"/>
        <rFont val="Calibri"/>
        <family val="2"/>
        <scheme val="minor"/>
      </rPr>
      <t>5</t>
    </r>
    <r>
      <rPr>
        <b/>
        <sz val="12"/>
        <color rgb="FF002060"/>
        <rFont val="Calibri"/>
        <family val="2"/>
        <scheme val="minor"/>
      </rPr>
      <t>/100 g Boden maximal bis zur voraussichtlichen P-Abfuhr mit dem Erntegut gedüngt werden. Dies entspricht der Empfehlung in Gehaltsklasse C, die damit zur Begrenzung bei höherer P-Versorgung wird. Die P-Düngung kann als Vorratsdüngung für jeweils 3 Jahre im Voraus erfolgen.</t>
    </r>
  </si>
  <si>
    <t>Bewirtschaftungs-Einheit oder Schlag</t>
  </si>
  <si>
    <t>Bewirtschaftungs-                            Einheit oder Schlag</t>
  </si>
  <si>
    <t>Summe Düngung in kg pro Bewirtschaftungs-Einheit oder Schlag</t>
  </si>
  <si>
    <t>1. Beweidung</t>
  </si>
  <si>
    <t>2. Beweidung</t>
  </si>
  <si>
    <t>3. Beweidung</t>
  </si>
  <si>
    <t>Mineral-dünger-N</t>
  </si>
  <si>
    <t>Summe kg</t>
  </si>
  <si>
    <r>
      <t>N</t>
    </r>
    <r>
      <rPr>
        <b/>
        <vertAlign val="subscript"/>
        <sz val="12"/>
        <color rgb="FF222E9E"/>
        <rFont val="Calibri"/>
        <family val="2"/>
        <scheme val="minor"/>
      </rPr>
      <t>ges</t>
    </r>
  </si>
  <si>
    <r>
      <t>N</t>
    </r>
    <r>
      <rPr>
        <b/>
        <vertAlign val="subscript"/>
        <sz val="12"/>
        <color theme="1"/>
        <rFont val="Calibri"/>
        <family val="2"/>
        <scheme val="minor"/>
      </rPr>
      <t>ges</t>
    </r>
  </si>
  <si>
    <r>
      <rPr>
        <b/>
        <sz val="12"/>
        <color rgb="FFFF0000"/>
        <rFont val="Calibri"/>
        <family val="2"/>
        <scheme val="minor"/>
      </rPr>
      <t>Düngebedarfsermittlung:</t>
    </r>
    <r>
      <rPr>
        <b/>
        <sz val="12"/>
        <color theme="1"/>
        <rFont val="Calibri"/>
        <family val="2"/>
        <scheme val="minor"/>
      </rPr>
      <t xml:space="preserve"> Berechnung der "standortbezogenen N-Obergrenzen" für Ackerkulturen auf Basis von N</t>
    </r>
    <r>
      <rPr>
        <b/>
        <vertAlign val="subscript"/>
        <sz val="12"/>
        <color theme="1"/>
        <rFont val="Calibri"/>
        <family val="2"/>
        <scheme val="minor"/>
      </rPr>
      <t>min</t>
    </r>
    <r>
      <rPr>
        <b/>
        <sz val="12"/>
        <color theme="1"/>
        <rFont val="Calibri"/>
        <family val="2"/>
        <scheme val="minor"/>
      </rPr>
      <t>.  Die Phosphatabfuhr beinhaltet (aus Platzgründen) nur die Haupternteprodukte (Körner, Rüben, Knollen etc.). Zudem enthalten die Erntenebenprodukte (Stroh, Blatt) relativ wenig Phosphat.</t>
    </r>
  </si>
  <si>
    <t xml:space="preserve">Fassen Sie vergleichbare Flächen zu Bewirtschaftungs-Einheiten zusammen. </t>
  </si>
  <si>
    <r>
      <t xml:space="preserve">1. Düngergabe </t>
    </r>
    <r>
      <rPr>
        <b/>
        <sz val="10"/>
        <color rgb="FFFF0000"/>
        <rFont val="Calibri"/>
        <family val="2"/>
        <scheme val="minor"/>
      </rPr>
      <t>(auch Herbstgaben zu Raps / Gerste)</t>
    </r>
  </si>
  <si>
    <t>Anrechnung auf N-Obergrenze 170 kg N/ha (Ausscheidung nach Abzug von Stall- und Lagerungsverlusten)</t>
  </si>
  <si>
    <t>Biogas-Gärreste, flüssig</t>
  </si>
  <si>
    <t>Biogas-Gärreste, fest</t>
  </si>
  <si>
    <t>Gülle, Gärrreste</t>
  </si>
  <si>
    <t>Gülle, Gärreste</t>
  </si>
  <si>
    <t>Anzurechnende Mindestwerte in % der Ausscheidungen an Gesamt-N  nach Abzug der Stall- und Lagerungsverluste</t>
  </si>
  <si>
    <t>Jauche findet hier keine Berücksichtigung</t>
  </si>
  <si>
    <r>
      <t>kg P</t>
    </r>
    <r>
      <rPr>
        <vertAlign val="subscript"/>
        <sz val="11"/>
        <color theme="1"/>
        <rFont val="Calibri"/>
        <family val="2"/>
        <scheme val="minor"/>
      </rPr>
      <t>2</t>
    </r>
    <r>
      <rPr>
        <sz val="11"/>
        <color theme="1"/>
        <rFont val="Calibri"/>
        <family val="2"/>
        <scheme val="minor"/>
      </rPr>
      <t>O</t>
    </r>
    <r>
      <rPr>
        <vertAlign val="subscript"/>
        <sz val="11"/>
        <color theme="1"/>
        <rFont val="Calibri"/>
        <family val="2"/>
        <scheme val="minor"/>
      </rPr>
      <t xml:space="preserve">5  </t>
    </r>
    <r>
      <rPr>
        <sz val="11"/>
        <color theme="1"/>
        <rFont val="Calibri"/>
        <family val="2"/>
        <scheme val="minor"/>
      </rPr>
      <t xml:space="preserve">bis 8000 kg </t>
    </r>
  </si>
  <si>
    <r>
      <t>kg P</t>
    </r>
    <r>
      <rPr>
        <vertAlign val="subscript"/>
        <sz val="11"/>
        <color theme="1"/>
        <rFont val="Calibri"/>
        <family val="2"/>
        <scheme val="minor"/>
      </rPr>
      <t>2</t>
    </r>
    <r>
      <rPr>
        <sz val="11"/>
        <color theme="1"/>
        <rFont val="Calibri"/>
        <family val="2"/>
        <scheme val="minor"/>
      </rPr>
      <t>O</t>
    </r>
    <r>
      <rPr>
        <vertAlign val="subscript"/>
        <sz val="11"/>
        <color theme="1"/>
        <rFont val="Calibri"/>
        <family val="2"/>
        <scheme val="minor"/>
      </rPr>
      <t xml:space="preserve">5  </t>
    </r>
    <r>
      <rPr>
        <sz val="11"/>
        <color theme="1"/>
        <rFont val="Calibri"/>
        <family val="2"/>
        <scheme val="minor"/>
      </rPr>
      <t xml:space="preserve"> ab 8000 kg </t>
    </r>
  </si>
  <si>
    <r>
      <t>kg K</t>
    </r>
    <r>
      <rPr>
        <vertAlign val="subscript"/>
        <sz val="11"/>
        <color theme="1"/>
        <rFont val="Calibri"/>
        <family val="2"/>
        <scheme val="minor"/>
      </rPr>
      <t>2</t>
    </r>
    <r>
      <rPr>
        <sz val="11"/>
        <color theme="1"/>
        <rFont val="Calibri"/>
        <family val="2"/>
        <scheme val="minor"/>
      </rPr>
      <t>O bis 8000 kg</t>
    </r>
  </si>
  <si>
    <r>
      <t>kg K</t>
    </r>
    <r>
      <rPr>
        <vertAlign val="subscript"/>
        <sz val="11"/>
        <color theme="1"/>
        <rFont val="Calibri"/>
        <family val="2"/>
        <scheme val="minor"/>
      </rPr>
      <t>2</t>
    </r>
    <r>
      <rPr>
        <sz val="11"/>
        <color theme="1"/>
        <rFont val="Calibri"/>
        <family val="2"/>
        <scheme val="minor"/>
      </rPr>
      <t>O ab 8000 kg</t>
    </r>
  </si>
  <si>
    <t>Mist, Jauche, Weide</t>
  </si>
  <si>
    <t>Gärreste aus eigener BGA im Tab.blatt Organ. Dünger als Zukauf erfassen</t>
  </si>
  <si>
    <t>Ungefähre Menge verfügbarer Nährstoffe in Gülle und Mist für selbst bewirtschaftete Flächen</t>
  </si>
  <si>
    <t>% N-Wirkung = Mineraldüngeräquivalent MDÄ</t>
  </si>
  <si>
    <t>kg N-Obergrenze gesamt</t>
  </si>
  <si>
    <r>
      <t>kg P</t>
    </r>
    <r>
      <rPr>
        <b/>
        <vertAlign val="subscript"/>
        <sz val="12"/>
        <color theme="1"/>
        <rFont val="Calibri"/>
        <family val="2"/>
        <scheme val="minor"/>
      </rPr>
      <t>2</t>
    </r>
    <r>
      <rPr>
        <b/>
        <sz val="12"/>
        <color theme="1"/>
        <rFont val="Calibri"/>
        <family val="2"/>
        <scheme val="minor"/>
      </rPr>
      <t>O</t>
    </r>
    <r>
      <rPr>
        <b/>
        <vertAlign val="subscript"/>
        <sz val="12"/>
        <color theme="1"/>
        <rFont val="Calibri"/>
        <family val="2"/>
        <scheme val="minor"/>
      </rPr>
      <t>5</t>
    </r>
    <r>
      <rPr>
        <b/>
        <sz val="12"/>
        <color theme="1"/>
        <rFont val="Calibri"/>
        <family val="2"/>
        <scheme val="minor"/>
      </rPr>
      <t>-Abfuhr gesamt</t>
    </r>
  </si>
  <si>
    <t>ha Grünland</t>
  </si>
  <si>
    <t>Nährstoffanfall aus eigener Tierhaltung</t>
  </si>
  <si>
    <t>Gärreste aus einer eigenen Biogasanlage werden hier wie ein Düngemittelzukauf betrachtet und im Tab.blatt "Organ. Dünger" erfasst (weil in der Regel nicht nur eigene Wirtschaftsdünger in der Biogasanlage verwertet werden und die übrigen Substrate hier nicht erfasst werden sollen.</t>
  </si>
  <si>
    <t>andere organische Dünger 4</t>
  </si>
  <si>
    <t>andere organische Dünger 5</t>
  </si>
  <si>
    <t>andere Mineraldünger 1</t>
  </si>
  <si>
    <t>andere Mineraldünger 2</t>
  </si>
  <si>
    <t>andere Mineraldünger 3</t>
  </si>
  <si>
    <t>andere Mineraldünger 4</t>
  </si>
  <si>
    <t>?</t>
  </si>
  <si>
    <t>Marktfrüchte/Ackerbau</t>
  </si>
  <si>
    <t>Weinbau</t>
  </si>
  <si>
    <t>ha Feldfutter (ohne Silomais)</t>
  </si>
  <si>
    <r>
      <t>Feldfutter und Grassamenvermehrung  (Kulturen mit N-Bedarfsermittlung ohne Berücksichtigung von N</t>
    </r>
    <r>
      <rPr>
        <b/>
        <vertAlign val="subscript"/>
        <sz val="12"/>
        <color theme="1"/>
        <rFont val="Calibri"/>
        <family val="2"/>
        <scheme val="minor"/>
      </rPr>
      <t>min</t>
    </r>
    <r>
      <rPr>
        <b/>
        <sz val="12"/>
        <color theme="1"/>
        <rFont val="Calibri"/>
        <family val="2"/>
        <scheme val="minor"/>
      </rPr>
      <t>)                                Kultur auswählen</t>
    </r>
  </si>
  <si>
    <t>Grünland</t>
  </si>
  <si>
    <t>Feldfutter</t>
  </si>
  <si>
    <t>% N-Wirkung vom Ges.-N</t>
  </si>
  <si>
    <t>Gesamte Fläche</t>
  </si>
  <si>
    <t>ggfalls.  Anmerkungen zur Herkunft</t>
  </si>
  <si>
    <t>ggfalls. Anmerkungen zum Verbleib</t>
  </si>
  <si>
    <t>plus Zukauf</t>
  </si>
  <si>
    <t>minus Verkauf</t>
  </si>
  <si>
    <t>verfügb. N</t>
  </si>
  <si>
    <t>gesamt-N</t>
  </si>
  <si>
    <r>
      <t>Düngebedarf N und P</t>
    </r>
    <r>
      <rPr>
        <b/>
        <vertAlign val="subscript"/>
        <sz val="14"/>
        <color theme="1"/>
        <rFont val="Calibri"/>
        <family val="2"/>
        <scheme val="minor"/>
      </rPr>
      <t>2</t>
    </r>
    <r>
      <rPr>
        <b/>
        <sz val="14"/>
        <color theme="1"/>
        <rFont val="Calibri"/>
        <family val="2"/>
        <scheme val="minor"/>
      </rPr>
      <t>O</t>
    </r>
    <r>
      <rPr>
        <b/>
        <vertAlign val="subscript"/>
        <sz val="14"/>
        <color theme="1"/>
        <rFont val="Calibri"/>
        <family val="2"/>
        <scheme val="minor"/>
      </rPr>
      <t>5</t>
    </r>
  </si>
  <si>
    <r>
      <t>gedüngte Mengen N und P</t>
    </r>
    <r>
      <rPr>
        <b/>
        <vertAlign val="subscript"/>
        <sz val="14"/>
        <color theme="1"/>
        <rFont val="Calibri"/>
        <family val="2"/>
        <scheme val="minor"/>
      </rPr>
      <t>2</t>
    </r>
    <r>
      <rPr>
        <b/>
        <sz val="14"/>
        <color theme="1"/>
        <rFont val="Calibri"/>
        <family val="2"/>
        <scheme val="minor"/>
      </rPr>
      <t>O</t>
    </r>
    <r>
      <rPr>
        <b/>
        <vertAlign val="subscript"/>
        <sz val="14"/>
        <color theme="1"/>
        <rFont val="Calibri"/>
        <family val="2"/>
        <scheme val="minor"/>
      </rPr>
      <t>5</t>
    </r>
  </si>
  <si>
    <t>kg Summe</t>
  </si>
  <si>
    <t>ha</t>
  </si>
  <si>
    <t>Fläche</t>
  </si>
  <si>
    <r>
      <t>P</t>
    </r>
    <r>
      <rPr>
        <b/>
        <vertAlign val="subscript"/>
        <sz val="12"/>
        <rFont val="Calibri"/>
        <family val="2"/>
        <scheme val="minor"/>
      </rPr>
      <t>2</t>
    </r>
    <r>
      <rPr>
        <b/>
        <sz val="12"/>
        <rFont val="Calibri"/>
        <family val="2"/>
        <scheme val="minor"/>
      </rPr>
      <t>O</t>
    </r>
    <r>
      <rPr>
        <b/>
        <vertAlign val="subscript"/>
        <sz val="12"/>
        <rFont val="Calibri"/>
        <family val="2"/>
        <scheme val="minor"/>
      </rPr>
      <t>5</t>
    </r>
  </si>
  <si>
    <r>
      <t>P</t>
    </r>
    <r>
      <rPr>
        <b/>
        <vertAlign val="subscript"/>
        <sz val="11"/>
        <color theme="1"/>
        <rFont val="Calibri"/>
        <family val="2"/>
        <scheme val="minor"/>
      </rPr>
      <t>2</t>
    </r>
    <r>
      <rPr>
        <b/>
        <sz val="11"/>
        <color theme="1"/>
        <rFont val="Calibri"/>
        <family val="2"/>
        <scheme val="minor"/>
      </rPr>
      <t>O</t>
    </r>
    <r>
      <rPr>
        <b/>
        <vertAlign val="subscript"/>
        <sz val="11"/>
        <color theme="1"/>
        <rFont val="Calibri"/>
        <family val="2"/>
        <scheme val="minor"/>
      </rPr>
      <t>5</t>
    </r>
    <r>
      <rPr>
        <b/>
        <sz val="11"/>
        <color theme="1"/>
        <rFont val="Calibri"/>
        <family val="2"/>
        <scheme val="minor"/>
      </rPr>
      <t>-Abfuhr</t>
    </r>
  </si>
  <si>
    <r>
      <t>P</t>
    </r>
    <r>
      <rPr>
        <b/>
        <vertAlign val="subscript"/>
        <sz val="12"/>
        <color theme="1"/>
        <rFont val="Calibri"/>
        <family val="2"/>
        <scheme val="minor"/>
      </rPr>
      <t>2</t>
    </r>
    <r>
      <rPr>
        <b/>
        <sz val="12"/>
        <color theme="1"/>
        <rFont val="Calibri"/>
        <family val="2"/>
        <scheme val="minor"/>
      </rPr>
      <t>O</t>
    </r>
    <r>
      <rPr>
        <b/>
        <vertAlign val="subscript"/>
        <sz val="12"/>
        <color theme="1"/>
        <rFont val="Calibri"/>
        <family val="2"/>
        <scheme val="minor"/>
      </rPr>
      <t>5</t>
    </r>
    <r>
      <rPr>
        <b/>
        <sz val="12"/>
        <color theme="1"/>
        <rFont val="Calibri"/>
        <family val="2"/>
        <scheme val="minor"/>
      </rPr>
      <t>-Abfuhr</t>
    </r>
  </si>
  <si>
    <t>Bewirtschaft.-                            Einheit oder Schlag</t>
  </si>
  <si>
    <t>Mähweide</t>
  </si>
  <si>
    <t>Fläche eins</t>
  </si>
  <si>
    <r>
      <t>P</t>
    </r>
    <r>
      <rPr>
        <b/>
        <vertAlign val="subscript"/>
        <sz val="12"/>
        <color theme="5" tint="-0.249977111117893"/>
        <rFont val="Calibri"/>
        <family val="2"/>
        <scheme val="minor"/>
      </rPr>
      <t>2</t>
    </r>
    <r>
      <rPr>
        <b/>
        <sz val="12"/>
        <color theme="5" tint="-0.249977111117893"/>
        <rFont val="Calibri"/>
        <family val="2"/>
        <scheme val="minor"/>
      </rPr>
      <t>O</t>
    </r>
    <r>
      <rPr>
        <b/>
        <vertAlign val="subscript"/>
        <sz val="12"/>
        <color theme="5" tint="-0.249977111117893"/>
        <rFont val="Calibri"/>
        <family val="2"/>
        <scheme val="minor"/>
      </rPr>
      <t>5</t>
    </r>
  </si>
  <si>
    <t>mit Nitrat belastete Gebiete</t>
  </si>
  <si>
    <t>Die Berechnung der N-Obergrenze erfolgt hier wie im unbelasteten Gebiet!</t>
  </si>
  <si>
    <t>Nicht mit Nitrat belastete Gebiete</t>
  </si>
  <si>
    <t>Mit Nitrat belastete Gebiete</t>
  </si>
  <si>
    <t>max. 80</t>
  </si>
  <si>
    <t>max. 160</t>
  </si>
  <si>
    <t>max. 170</t>
  </si>
  <si>
    <t>zulässige N-Düngung:</t>
  </si>
  <si>
    <r>
      <rPr>
        <b/>
        <sz val="12"/>
        <color rgb="FFFF0000"/>
        <rFont val="Calibri"/>
        <family val="2"/>
        <scheme val="minor"/>
      </rPr>
      <t xml:space="preserve">Aufzeichnung innerhalb von 2 Tagen nach jeder Düngungsmaßnahme: </t>
    </r>
    <r>
      <rPr>
        <b/>
        <sz val="12"/>
        <color theme="1"/>
        <rFont val="Calibri"/>
        <family val="2"/>
        <scheme val="minor"/>
      </rPr>
      <t>tatsächlich ausgebrachte Düngung mit N und P</t>
    </r>
    <r>
      <rPr>
        <b/>
        <vertAlign val="subscript"/>
        <sz val="12"/>
        <color theme="1"/>
        <rFont val="Calibri"/>
        <family val="2"/>
        <scheme val="minor"/>
      </rPr>
      <t>2</t>
    </r>
    <r>
      <rPr>
        <b/>
        <sz val="12"/>
        <color theme="1"/>
        <rFont val="Calibri"/>
        <family val="2"/>
        <scheme val="minor"/>
      </rPr>
      <t>O</t>
    </r>
    <r>
      <rPr>
        <b/>
        <vertAlign val="subscript"/>
        <sz val="12"/>
        <color theme="1"/>
        <rFont val="Calibri"/>
        <family val="2"/>
        <scheme val="minor"/>
      </rPr>
      <t xml:space="preserve">5 </t>
    </r>
    <r>
      <rPr>
        <b/>
        <sz val="12"/>
        <color theme="1"/>
        <rFont val="Calibri"/>
        <family val="2"/>
        <scheme val="minor"/>
      </rPr>
      <t>in kg/ha                                                                                                                                                                                                                                                                                                                                                                                                                                               N</t>
    </r>
    <r>
      <rPr>
        <b/>
        <vertAlign val="subscript"/>
        <sz val="12"/>
        <color theme="1"/>
        <rFont val="Calibri"/>
        <family val="2"/>
        <scheme val="minor"/>
      </rPr>
      <t>verf</t>
    </r>
    <r>
      <rPr>
        <b/>
        <sz val="12"/>
        <color theme="1"/>
        <rFont val="Calibri"/>
        <family val="2"/>
        <scheme val="minor"/>
      </rPr>
      <t xml:space="preserve"> = verfügbarer N (Mineraldünger-N + verfügbarer Anteil des Wirtschaftsdünger-N); N</t>
    </r>
    <r>
      <rPr>
        <b/>
        <vertAlign val="subscript"/>
        <sz val="12"/>
        <color theme="1"/>
        <rFont val="Calibri"/>
        <family val="2"/>
        <scheme val="minor"/>
      </rPr>
      <t>ges</t>
    </r>
    <r>
      <rPr>
        <b/>
        <sz val="12"/>
        <color theme="1"/>
        <rFont val="Calibri"/>
        <family val="2"/>
        <scheme val="minor"/>
      </rPr>
      <t xml:space="preserve"> = gesamt-N.                          Sie können die Spaltenbreiten insbes. für eine 4. oder 5. Düngergabe anpassen.</t>
    </r>
  </si>
  <si>
    <t>Vergleichbare Schläge zu Bewirtschaftungs-Einheiten zusammenfassen, die voraussichtlich einheitlich gedüngt werden (für eine Dokumentation der Düngung der Bewirtschaftungs-Einheiten entsprechend der Düngeplanung).</t>
  </si>
  <si>
    <r>
      <t>Aufzeichnung innerhalb von 2 Tagen nach jeder Düngungsmaßnahme: tatsächlich ausgebrachte Düngung mit N und P</t>
    </r>
    <r>
      <rPr>
        <b/>
        <vertAlign val="subscript"/>
        <sz val="11"/>
        <color theme="1"/>
        <rFont val="Calibri"/>
        <family val="2"/>
        <scheme val="minor"/>
      </rPr>
      <t>2</t>
    </r>
    <r>
      <rPr>
        <b/>
        <sz val="11"/>
        <color theme="1"/>
        <rFont val="Calibri"/>
        <family val="2"/>
        <scheme val="minor"/>
      </rPr>
      <t>O</t>
    </r>
    <r>
      <rPr>
        <b/>
        <vertAlign val="subscript"/>
        <sz val="11"/>
        <color theme="1"/>
        <rFont val="Calibri"/>
        <family val="2"/>
        <scheme val="minor"/>
      </rPr>
      <t>5</t>
    </r>
    <r>
      <rPr>
        <b/>
        <sz val="11"/>
        <color theme="1"/>
        <rFont val="Calibri"/>
        <family val="2"/>
        <scheme val="minor"/>
      </rPr>
      <t xml:space="preserve"> in kg/ha.                                                                                                                                                                                                                                                                                                                                                                                                                                    N</t>
    </r>
    <r>
      <rPr>
        <b/>
        <vertAlign val="subscript"/>
        <sz val="11"/>
        <color theme="1"/>
        <rFont val="Calibri"/>
        <family val="2"/>
        <scheme val="minor"/>
      </rPr>
      <t>verf</t>
    </r>
    <r>
      <rPr>
        <b/>
        <sz val="11"/>
        <color theme="1"/>
        <rFont val="Calibri"/>
        <family val="2"/>
        <scheme val="minor"/>
      </rPr>
      <t xml:space="preserve"> = verfügbarer N (Mineraldünger-N + verfügbarer Anteil des Wirtschaftsdünger-N); N</t>
    </r>
    <r>
      <rPr>
        <b/>
        <vertAlign val="subscript"/>
        <sz val="11"/>
        <color theme="1"/>
        <rFont val="Calibri"/>
        <family val="2"/>
        <scheme val="minor"/>
      </rPr>
      <t>ges</t>
    </r>
    <r>
      <rPr>
        <b/>
        <sz val="11"/>
        <color theme="1"/>
        <rFont val="Calibri"/>
        <family val="2"/>
        <scheme val="minor"/>
      </rPr>
      <t xml:space="preserve"> = gesamt-N.              </t>
    </r>
  </si>
  <si>
    <r>
      <t xml:space="preserve">Hier müssen Sie die N-Düngung (N-Obergrenze) </t>
    </r>
    <r>
      <rPr>
        <b/>
        <i/>
        <sz val="12"/>
        <color theme="1"/>
        <rFont val="Calibri"/>
        <family val="2"/>
        <scheme val="minor"/>
      </rPr>
      <t>um 20 % reduzieren</t>
    </r>
    <r>
      <rPr>
        <i/>
        <sz val="12"/>
        <color theme="1"/>
        <rFont val="Calibri"/>
        <family val="2"/>
        <scheme val="minor"/>
      </rPr>
      <t xml:space="preserve"> </t>
    </r>
    <r>
      <rPr>
        <b/>
        <i/>
        <sz val="12"/>
        <color theme="1"/>
        <rFont val="Calibri"/>
        <family val="2"/>
        <scheme val="minor"/>
      </rPr>
      <t>oder</t>
    </r>
    <r>
      <rPr>
        <i/>
        <sz val="12"/>
        <color theme="1"/>
        <rFont val="Calibri"/>
        <family val="2"/>
        <scheme val="minor"/>
      </rPr>
      <t xml:space="preserve"> Sie düngen </t>
    </r>
    <r>
      <rPr>
        <b/>
        <i/>
        <sz val="12"/>
        <color theme="1"/>
        <rFont val="Calibri"/>
        <family val="2"/>
        <scheme val="minor"/>
      </rPr>
      <t>max. 160 kg Gesamt-N/ha und dabei max. 80 Mineraldünger-N/ha</t>
    </r>
    <r>
      <rPr>
        <i/>
        <sz val="12"/>
        <color theme="1"/>
        <rFont val="Calibri"/>
        <family val="2"/>
        <scheme val="minor"/>
      </rPr>
      <t xml:space="preserve">, jeweils im Durchschnitt der Flächen im Nitrat belasteten Gebiet (siehe Tab.blatt "Auswertung"). Zudem müssen Sie die </t>
    </r>
    <r>
      <rPr>
        <b/>
        <i/>
        <sz val="12"/>
        <color theme="1"/>
        <rFont val="Calibri"/>
        <family val="2"/>
        <scheme val="minor"/>
      </rPr>
      <t>Düngung einschließlich der noch geplanten Düngergaben spätestens bis zum 31. März des laufenden Jahres eintragen</t>
    </r>
    <r>
      <rPr>
        <i/>
        <sz val="12"/>
        <color theme="1"/>
        <rFont val="Calibri"/>
        <family val="2"/>
        <scheme val="minor"/>
      </rPr>
      <t>, um damit die geplante Einhaltung der N-Begrenzung belegen zu können.</t>
    </r>
  </si>
  <si>
    <r>
      <t xml:space="preserve">Hier können Sie die Einhaltung der </t>
    </r>
    <r>
      <rPr>
        <b/>
        <sz val="11"/>
        <color rgb="FFFF0000"/>
        <rFont val="Calibri"/>
        <family val="2"/>
        <scheme val="minor"/>
      </rPr>
      <t xml:space="preserve">Obergrenze von  170 kg N/ha aus organischer Düngung </t>
    </r>
    <r>
      <rPr>
        <sz val="11"/>
        <color theme="1"/>
        <rFont val="Calibri"/>
        <family val="2"/>
        <scheme val="minor"/>
      </rPr>
      <t xml:space="preserve">prüfen. Im NItrat-belasteten Gebiet gilt dies </t>
    </r>
    <r>
      <rPr>
        <b/>
        <sz val="11"/>
        <color rgb="FFFF0000"/>
        <rFont val="Calibri"/>
        <family val="2"/>
        <scheme val="minor"/>
      </rPr>
      <t>für jede Bewirtschaftungseinheit</t>
    </r>
    <r>
      <rPr>
        <sz val="11"/>
        <color theme="1"/>
        <rFont val="Calibri"/>
        <family val="2"/>
        <scheme val="minor"/>
      </rPr>
      <t xml:space="preserve">, es sei denn, Sie düngen im Durchschnitt aller Flächen </t>
    </r>
    <r>
      <rPr>
        <b/>
        <sz val="11"/>
        <color rgb="FF222E9E"/>
        <rFont val="Calibri"/>
        <family val="2"/>
        <scheme val="minor"/>
      </rPr>
      <t>nicht mehr als 160 kg Gesamt-N/ha und davon nicht mehr als 80 kg Mineraldünger-N/ha</t>
    </r>
    <r>
      <rPr>
        <sz val="11"/>
        <color theme="1"/>
        <rFont val="Calibri"/>
        <family val="2"/>
        <scheme val="minor"/>
      </rPr>
      <t xml:space="preserve"> (Durchschnitt pro ha siehe Zeile 33, siehe auch </t>
    </r>
    <r>
      <rPr>
        <b/>
        <sz val="11"/>
        <color theme="1"/>
        <rFont val="Calibri"/>
        <family val="2"/>
        <scheme val="minor"/>
      </rPr>
      <t>Tab.blatt Auswertung</t>
    </r>
    <r>
      <rPr>
        <sz val="11"/>
        <color theme="1"/>
        <rFont val="Calibri"/>
        <family val="2"/>
        <scheme val="minor"/>
      </rPr>
      <t>)</t>
    </r>
  </si>
  <si>
    <r>
      <t xml:space="preserve">Hier können Sie u.a. die Einhaltung der </t>
    </r>
    <r>
      <rPr>
        <b/>
        <sz val="11"/>
        <color rgb="FFFF0000"/>
        <rFont val="Calibri"/>
        <family val="2"/>
        <scheme val="minor"/>
      </rPr>
      <t xml:space="preserve">Obergrenze von  170 kg N/ha aus organischer Düngung im Flächendurchschnitt </t>
    </r>
    <r>
      <rPr>
        <sz val="11"/>
        <color theme="1"/>
        <rFont val="Calibri"/>
        <family val="2"/>
        <scheme val="minor"/>
      </rPr>
      <t xml:space="preserve">prüfen (Durchschnitt pro ha siehe Zeile 33). Die Einhaltung dieser Obergrenze bezieht sich auch auf andere Nutzungsformen (siehe auch </t>
    </r>
    <r>
      <rPr>
        <b/>
        <sz val="11"/>
        <color theme="1"/>
        <rFont val="Calibri"/>
        <family val="2"/>
        <scheme val="minor"/>
      </rPr>
      <t>Tab.blatt</t>
    </r>
    <r>
      <rPr>
        <sz val="11"/>
        <color theme="1"/>
        <rFont val="Calibri"/>
        <family val="2"/>
        <scheme val="minor"/>
      </rPr>
      <t xml:space="preserve"> </t>
    </r>
    <r>
      <rPr>
        <b/>
        <sz val="11"/>
        <color theme="1"/>
        <rFont val="Calibri"/>
        <family val="2"/>
        <scheme val="minor"/>
      </rPr>
      <t>Auswertung</t>
    </r>
    <r>
      <rPr>
        <sz val="11"/>
        <color theme="1"/>
        <rFont val="Calibri"/>
        <family val="2"/>
        <scheme val="minor"/>
      </rPr>
      <t>)</t>
    </r>
  </si>
  <si>
    <r>
      <t xml:space="preserve">Hier können Sie die Einhaltung der </t>
    </r>
    <r>
      <rPr>
        <b/>
        <sz val="11"/>
        <color rgb="FFFF0000"/>
        <rFont val="Calibri"/>
        <family val="2"/>
        <scheme val="minor"/>
      </rPr>
      <t xml:space="preserve">Obergrenze von  170 kg N/ha aus organischer Düngung </t>
    </r>
    <r>
      <rPr>
        <sz val="11"/>
        <color theme="1"/>
        <rFont val="Calibri"/>
        <family val="2"/>
        <scheme val="minor"/>
      </rPr>
      <t xml:space="preserve">prüfen. Im NItrat-belasteten Gebiet gilt dies </t>
    </r>
    <r>
      <rPr>
        <b/>
        <sz val="11"/>
        <color rgb="FFFF0000"/>
        <rFont val="Calibri"/>
        <family val="2"/>
        <scheme val="minor"/>
      </rPr>
      <t>für jede Bewirtschaftungseinheit</t>
    </r>
    <r>
      <rPr>
        <sz val="11"/>
        <color theme="1"/>
        <rFont val="Calibri"/>
        <family val="2"/>
        <scheme val="minor"/>
      </rPr>
      <t xml:space="preserve">, es sei denn, Sie düngen im Durchschnitt aller Flächen </t>
    </r>
    <r>
      <rPr>
        <b/>
        <sz val="11"/>
        <color rgb="FF222E9E"/>
        <rFont val="Calibri"/>
        <family val="2"/>
        <scheme val="minor"/>
      </rPr>
      <t>nicht mehr als 160 kg Gesamt-N/ha und davon nicht mehr als 80 kg Mineraldünger-N/ha</t>
    </r>
    <r>
      <rPr>
        <sz val="11"/>
        <color theme="1"/>
        <rFont val="Calibri"/>
        <family val="2"/>
        <scheme val="minor"/>
      </rPr>
      <t xml:space="preserve"> (Durchschnitt pro ha siehe Zeile 33, siehe auch </t>
    </r>
    <r>
      <rPr>
        <b/>
        <sz val="11"/>
        <color theme="1"/>
        <rFont val="Calibri"/>
        <family val="2"/>
        <scheme val="minor"/>
      </rPr>
      <t>Tab.blatt Auswertung</t>
    </r>
    <r>
      <rPr>
        <sz val="11"/>
        <color theme="1"/>
        <rFont val="Calibri"/>
        <family val="2"/>
        <scheme val="minor"/>
      </rPr>
      <t>).</t>
    </r>
  </si>
  <si>
    <r>
      <t xml:space="preserve">Hier können Sie u.a. die Einhaltung der </t>
    </r>
    <r>
      <rPr>
        <b/>
        <sz val="11"/>
        <color rgb="FFFF0000"/>
        <rFont val="Calibri"/>
        <family val="2"/>
        <scheme val="minor"/>
      </rPr>
      <t xml:space="preserve">Obergrenze von  170 kg N/ha aus organischer Düngung im Flächendurchschnitt </t>
    </r>
    <r>
      <rPr>
        <sz val="11"/>
        <color theme="1"/>
        <rFont val="Calibri"/>
        <family val="2"/>
        <scheme val="minor"/>
      </rPr>
      <t>prüfen (Durchschnitt pro ha siehe Zeile 33). Die Einhaltung dieser Obergrenze bezieht sich auch auf andere Nutzungsformen (siehe auch</t>
    </r>
    <r>
      <rPr>
        <b/>
        <sz val="11"/>
        <color theme="1"/>
        <rFont val="Calibri"/>
        <family val="2"/>
        <scheme val="minor"/>
      </rPr>
      <t xml:space="preserve"> Tab.blatt</t>
    </r>
    <r>
      <rPr>
        <sz val="11"/>
        <color theme="1"/>
        <rFont val="Calibri"/>
        <family val="2"/>
        <scheme val="minor"/>
      </rPr>
      <t xml:space="preserve"> </t>
    </r>
    <r>
      <rPr>
        <b/>
        <sz val="11"/>
        <color theme="1"/>
        <rFont val="Calibri"/>
        <family val="2"/>
        <scheme val="minor"/>
      </rPr>
      <t>Auswertung</t>
    </r>
    <r>
      <rPr>
        <sz val="11"/>
        <color theme="1"/>
        <rFont val="Calibri"/>
        <family val="2"/>
        <scheme val="minor"/>
      </rPr>
      <t>)</t>
    </r>
  </si>
  <si>
    <t>Die %-N-Wirkung der organischen Dünger muss unbedingt hier eingetragen werden, weil ansonsten die Summen des verfügbaren, des Mineraldünger- oder Organ.-Dünger-N in den vorstehenden Tab.blättern nicht korrekt gebildet werden.</t>
  </si>
  <si>
    <t>Ertrag dt TM/ha</t>
  </si>
  <si>
    <t>Nutzungsformen oder Flächenbezeichnungen</t>
  </si>
  <si>
    <t>Abfuhr kg/ha</t>
  </si>
  <si>
    <t>Gehalts-klasse</t>
  </si>
  <si>
    <t>Düngung kg/ha und Jahr</t>
  </si>
  <si>
    <t>Magnesium MgO</t>
  </si>
  <si>
    <r>
      <t>Kali K</t>
    </r>
    <r>
      <rPr>
        <b/>
        <vertAlign val="subscript"/>
        <sz val="14"/>
        <color rgb="FF1C21DA"/>
        <rFont val="Calibri"/>
        <family val="2"/>
        <scheme val="minor"/>
      </rPr>
      <t>2</t>
    </r>
    <r>
      <rPr>
        <b/>
        <sz val="14"/>
        <color rgb="FF1C21DA"/>
        <rFont val="Calibri"/>
        <family val="2"/>
        <scheme val="minor"/>
      </rPr>
      <t>O</t>
    </r>
  </si>
  <si>
    <r>
      <t>Phosphat P</t>
    </r>
    <r>
      <rPr>
        <b/>
        <vertAlign val="subscript"/>
        <sz val="14"/>
        <color rgb="FF002060"/>
        <rFont val="Calibri"/>
        <family val="2"/>
        <scheme val="minor"/>
      </rPr>
      <t>2</t>
    </r>
    <r>
      <rPr>
        <b/>
        <sz val="14"/>
        <color rgb="FF002060"/>
        <rFont val="Calibri"/>
        <family val="2"/>
        <scheme val="minor"/>
      </rPr>
      <t>O</t>
    </r>
    <r>
      <rPr>
        <b/>
        <vertAlign val="subscript"/>
        <sz val="14"/>
        <color rgb="FF002060"/>
        <rFont val="Calibri"/>
        <family val="2"/>
        <scheme val="minor"/>
      </rPr>
      <t>5</t>
    </r>
  </si>
  <si>
    <t>Hier können Sie für verschiedene Grünland-Nutzungsformen den jährlichen Bedarf an Phosphat, Kali und Magnesium planen. Benutzen Sie die einzelnen Zeilen für bestimmte Schläge oder Bewirtschaftungs-Einheiten wie bei der Planung der N-Düngung. Die Gehaltsklassen entnehmen Sie bitte Ihren Bodenuntersuchungs-Ergebnissen.</t>
  </si>
  <si>
    <t>% Ertragsanteile</t>
  </si>
  <si>
    <r>
      <rPr>
        <b/>
        <sz val="12"/>
        <color rgb="FFFF0000"/>
        <rFont val="Calibri"/>
        <family val="2"/>
        <scheme val="minor"/>
      </rPr>
      <t xml:space="preserve">Aufzeichnung innerhalb von 2 Tagen nach jeder Düngungsmaßnahme: </t>
    </r>
    <r>
      <rPr>
        <b/>
        <sz val="12"/>
        <color theme="1"/>
        <rFont val="Calibri"/>
        <family val="2"/>
        <scheme val="minor"/>
      </rPr>
      <t>tatsächlich ausgebrachte Düngung mit N und P</t>
    </r>
    <r>
      <rPr>
        <b/>
        <vertAlign val="subscript"/>
        <sz val="12"/>
        <color theme="1"/>
        <rFont val="Calibri"/>
        <family val="2"/>
        <scheme val="minor"/>
      </rPr>
      <t>2</t>
    </r>
    <r>
      <rPr>
        <b/>
        <sz val="12"/>
        <color theme="1"/>
        <rFont val="Calibri"/>
        <family val="2"/>
        <scheme val="minor"/>
      </rPr>
      <t>O</t>
    </r>
    <r>
      <rPr>
        <b/>
        <vertAlign val="subscript"/>
        <sz val="12"/>
        <color theme="1"/>
        <rFont val="Calibri"/>
        <family val="2"/>
        <scheme val="minor"/>
      </rPr>
      <t xml:space="preserve">5 </t>
    </r>
    <r>
      <rPr>
        <b/>
        <sz val="12"/>
        <color theme="1"/>
        <rFont val="Calibri"/>
        <family val="2"/>
        <scheme val="minor"/>
      </rPr>
      <t>in kg/ha                                                                                                                                                                                                                                                                                                                                                                                                                                               N</t>
    </r>
    <r>
      <rPr>
        <b/>
        <vertAlign val="subscript"/>
        <sz val="12"/>
        <color theme="1"/>
        <rFont val="Calibri"/>
        <family val="2"/>
        <scheme val="minor"/>
      </rPr>
      <t>verf</t>
    </r>
    <r>
      <rPr>
        <b/>
        <sz val="12"/>
        <color theme="1"/>
        <rFont val="Calibri"/>
        <family val="2"/>
        <scheme val="minor"/>
      </rPr>
      <t xml:space="preserve"> = verfügbarer N (Mineraldünger-N + verfügbarer Anteil des Wirtschaftsdünger-N); N</t>
    </r>
    <r>
      <rPr>
        <b/>
        <vertAlign val="subscript"/>
        <sz val="12"/>
        <color theme="1"/>
        <rFont val="Calibri"/>
        <family val="2"/>
        <scheme val="minor"/>
      </rPr>
      <t>ges</t>
    </r>
    <r>
      <rPr>
        <b/>
        <sz val="12"/>
        <color theme="1"/>
        <rFont val="Calibri"/>
        <family val="2"/>
        <scheme val="minor"/>
      </rPr>
      <t xml:space="preserve"> = gesamt-N.</t>
    </r>
  </si>
  <si>
    <t>Es wird empfohlen, nicht benötigte Spalten, wie z.B. die einer 3. Düngergabe, zu verschmälern, um die Seitenansicht und den Ausdruck zu vereinfachen!</t>
  </si>
  <si>
    <t>Zweit- und Zwischenfruchtkulturen</t>
  </si>
  <si>
    <t xml:space="preserve"> Vergleichbare Schläge zu Bewirtschaftungs-Einheiten zusammenfassen, die voraussichtlich einheitlich gedüngt werden (für eine Dokumentation der Düngung der Bewirtschaftungs-Einheiten entsprechend der Düngeplanung).                                                                        Zweit- und Zwischenfrüchte werden hier erfasst, damit ihre Flächen, die schon bei der Vorkultur im Tab.blatt Ackerbau erfasst wurden, nicht doppelt gezählt werden.</t>
  </si>
  <si>
    <r>
      <t>kg P</t>
    </r>
    <r>
      <rPr>
        <vertAlign val="subscript"/>
        <sz val="11"/>
        <rFont val="Calibri"/>
        <family val="2"/>
        <scheme val="minor"/>
      </rPr>
      <t>2</t>
    </r>
    <r>
      <rPr>
        <sz val="11"/>
        <rFont val="Calibri"/>
        <family val="2"/>
        <scheme val="minor"/>
      </rPr>
      <t>O</t>
    </r>
    <r>
      <rPr>
        <vertAlign val="subscript"/>
        <sz val="11"/>
        <rFont val="Calibri"/>
        <family val="2"/>
        <scheme val="minor"/>
      </rPr>
      <t>5</t>
    </r>
    <r>
      <rPr>
        <sz val="11"/>
        <rFont val="Calibri"/>
        <family val="2"/>
        <scheme val="minor"/>
      </rPr>
      <t>/dt</t>
    </r>
  </si>
  <si>
    <t>Zweit- /Zwischenfrüchte</t>
  </si>
  <si>
    <t>Zweit- /Zwischenfrüchte mit Futternutzung</t>
  </si>
  <si>
    <t>ha Zweit-/Zwischenfrüchte</t>
  </si>
  <si>
    <t>Zweitfrucht-Mais</t>
  </si>
  <si>
    <t>Zweitfrucht-Hirse</t>
  </si>
  <si>
    <t>Zweitfrucht-Ackergras</t>
  </si>
  <si>
    <t>Zweitfrucht-Kleegras</t>
  </si>
  <si>
    <t>Zweitfrucht-Klee</t>
  </si>
  <si>
    <t>Zweitfrucht-Grassamen (Einj. W-gras)</t>
  </si>
  <si>
    <t>Summe Zweit-/Zwischenfrüchte</t>
  </si>
  <si>
    <t>evtl. 10 % des Ges.-N der organ. Dgg. zu Vorkulturen im Vorjahr in kg N/ha</t>
  </si>
  <si>
    <t xml:space="preserve">Mit dieser Excel-Anwendung bzw. diesem Tabellenwerk können Sie, so wie es die Düngeverordnung von 2020 vorsieht, Ihren N-Düngebedarf als standortbezogene N-Obergrenzen und die zulässige P-Zufuhr ermitteln. Daneben können Sie einzelne Düngegaben planen und daraus Aufzeichnungen der tatsächlichen N- und P-Düngung erstellen. Die Anwendung bietet Ihnen aber noch einiges mehr!                                                </t>
  </si>
  <si>
    <r>
      <rPr>
        <sz val="12"/>
        <rFont val="Calibri"/>
        <family val="2"/>
        <scheme val="minor"/>
      </rPr>
      <t xml:space="preserve">Wenn Sie in den darauf folgenden Tabellenblättern "Tierhaltung" und "Organ. Dünger" Ihre Viehhaltung sowie Zu- und Verkäufe von organischen Düngern einschließlich Gärresten aus einer eigenen Biogasanlage erfassen, erhalten Sie Informationen zum ungefähren Anfall des verfügbaren N aus organischen Düngern und zur Einhaltung der </t>
    </r>
    <r>
      <rPr>
        <b/>
        <sz val="12"/>
        <rFont val="Calibri"/>
        <family val="2"/>
        <scheme val="minor"/>
      </rPr>
      <t>170-kg-N-Obergren</t>
    </r>
    <r>
      <rPr>
        <b/>
        <sz val="12"/>
        <color theme="1"/>
        <rFont val="Calibri"/>
        <family val="2"/>
        <scheme val="minor"/>
      </rPr>
      <t>ze</t>
    </r>
    <r>
      <rPr>
        <sz val="12"/>
        <color theme="1"/>
        <rFont val="Calibri"/>
        <family val="2"/>
        <scheme val="minor"/>
      </rPr>
      <t xml:space="preserve"> pro ha im Betriebsdurchschnitt.</t>
    </r>
  </si>
  <si>
    <r>
      <t xml:space="preserve">Weitere </t>
    </r>
    <r>
      <rPr>
        <b/>
        <sz val="11"/>
        <color theme="1"/>
        <rFont val="Calibri"/>
        <family val="2"/>
        <scheme val="minor"/>
      </rPr>
      <t xml:space="preserve">mineralische Dünger </t>
    </r>
    <r>
      <rPr>
        <sz val="11"/>
        <color theme="1"/>
        <rFont val="Calibri"/>
        <family val="2"/>
        <scheme val="minor"/>
      </rPr>
      <t>bitte nur in diese Zeilen eintragen. Nicht benötigte Düngemittel können überschrieben werden.</t>
    </r>
  </si>
  <si>
    <r>
      <t xml:space="preserve">Weitere </t>
    </r>
    <r>
      <rPr>
        <b/>
        <sz val="11"/>
        <color theme="1"/>
        <rFont val="Calibri"/>
        <family val="2"/>
        <scheme val="minor"/>
      </rPr>
      <t>organische Dünger</t>
    </r>
    <r>
      <rPr>
        <sz val="11"/>
        <color theme="1"/>
        <rFont val="Calibri"/>
        <family val="2"/>
        <scheme val="minor"/>
      </rPr>
      <t xml:space="preserve"> bitte nur in diese Zeilen eintragen. Nicht benötigte Düngemittel können überschrieben werden. </t>
    </r>
    <r>
      <rPr>
        <b/>
        <sz val="11"/>
        <color rgb="FFFF0000"/>
        <rFont val="Calibri"/>
        <family val="2"/>
        <scheme val="minor"/>
      </rPr>
      <t>Angaben zur %-N-Wirkung siehe ab Zeile 70</t>
    </r>
  </si>
  <si>
    <t>Ich danke den Kollegen der Pflanzenbau-, Weinbau- und der Wasserschutzberatung für wertvolle Anregungen!</t>
  </si>
  <si>
    <t>Es ist vorgesehen, diese Anwendung und ihre Inhalte weiterzuentwickeln. Benutzer sollten daher von Zeit zu Zeit auf www.pflanzenbau.rlp.de oder www.wasserschutzberatung.rlp.de (Rubriken: Düngung) nach der jeweils aktuellen Version schauen.  Konstruktive Verbesserungsvorschläge sind willkommen. Beachten Sie dabei aber, dass wir kein Softwarehaus sind und dass die Anwendung übersichtlich und nachvollziehbar bleiben soll. Softwareentwickler sind ausdrücklich eingeladen, die Ideen und Rechenwege dieser Anwendung zu übernehmen! Die Anwendung ist weitgehend selbsterklärend, insbesondere nach Lektüre der Merkblätter zur N-Düngebedarfsermittlung (jeweils aktuell im Internetangebot). Ich bitte daher um Verständnis, dass ich aus zeitlichen Gründen keine Anrufe mit Fragen zur Bedienung dieses Programmes oder allgemein zur Bedienung von Tabellenkalkulationen bekommen möchte. Anfragen bitte ausschließlich fachlicher Art und per E-Mail. Sie können die einzelnen Tabellenblätter nach Bedarf kopieren, aber auch löschen. Spaltenbreiten und Zeilenhöhen sind änderbar, um die Ausdrucke ggf. ihrem Drucker anpassen zu können.</t>
  </si>
  <si>
    <t>Rubrik: Zur Düngeverordnung &gt; Ackerbau und Grünland</t>
  </si>
  <si>
    <r>
      <t xml:space="preserve">Hier müssen Sie die N-Düngung (N-Obergrenze) </t>
    </r>
    <r>
      <rPr>
        <b/>
        <i/>
        <sz val="14"/>
        <color theme="1"/>
        <rFont val="Calibri"/>
        <family val="2"/>
        <scheme val="minor"/>
      </rPr>
      <t>um 20 % reduzieren</t>
    </r>
    <r>
      <rPr>
        <i/>
        <sz val="14"/>
        <color theme="1"/>
        <rFont val="Calibri"/>
        <family val="2"/>
        <scheme val="minor"/>
      </rPr>
      <t xml:space="preserve"> </t>
    </r>
    <r>
      <rPr>
        <b/>
        <i/>
        <sz val="14"/>
        <color theme="1"/>
        <rFont val="Calibri"/>
        <family val="2"/>
        <scheme val="minor"/>
      </rPr>
      <t>oder</t>
    </r>
    <r>
      <rPr>
        <i/>
        <sz val="14"/>
        <color theme="1"/>
        <rFont val="Calibri"/>
        <family val="2"/>
        <scheme val="minor"/>
      </rPr>
      <t xml:space="preserve"> Sie düngen </t>
    </r>
    <r>
      <rPr>
        <b/>
        <i/>
        <sz val="14"/>
        <color theme="1"/>
        <rFont val="Calibri"/>
        <family val="2"/>
        <scheme val="minor"/>
      </rPr>
      <t>max. 160 kg Gesamt-N/ha und dabei max. 80 Mineraldünger-N/ha</t>
    </r>
    <r>
      <rPr>
        <i/>
        <sz val="14"/>
        <color theme="1"/>
        <rFont val="Calibri"/>
        <family val="2"/>
        <scheme val="minor"/>
      </rPr>
      <t xml:space="preserve">, jeweils im Durchschnitt der Flächen im Nitrat belasteten Gebiet (siehe Tab.blatt "Auswertung"). </t>
    </r>
  </si>
  <si>
    <r>
      <t xml:space="preserve">... die N-Düngung (N-Obergrenze) </t>
    </r>
    <r>
      <rPr>
        <b/>
        <i/>
        <sz val="12"/>
        <color theme="1"/>
        <rFont val="Calibri"/>
        <family val="2"/>
        <scheme val="minor"/>
      </rPr>
      <t>um 20 % reduzieren</t>
    </r>
    <r>
      <rPr>
        <i/>
        <sz val="12"/>
        <color theme="1"/>
        <rFont val="Calibri"/>
        <family val="2"/>
        <scheme val="minor"/>
      </rPr>
      <t xml:space="preserve"> </t>
    </r>
    <r>
      <rPr>
        <b/>
        <i/>
        <sz val="12"/>
        <color theme="1"/>
        <rFont val="Calibri"/>
        <family val="2"/>
        <scheme val="minor"/>
      </rPr>
      <t>oder</t>
    </r>
    <r>
      <rPr>
        <i/>
        <sz val="12"/>
        <color theme="1"/>
        <rFont val="Calibri"/>
        <family val="2"/>
        <scheme val="minor"/>
      </rPr>
      <t xml:space="preserve"> ... </t>
    </r>
    <r>
      <rPr>
        <b/>
        <i/>
        <sz val="12"/>
        <color theme="1"/>
        <rFont val="Calibri"/>
        <family val="2"/>
        <scheme val="minor"/>
      </rPr>
      <t>max. 160 kg Gesamt-N/ha und dabei max. 80 Mineraldünger-N/ha (einschließlich der Düngung der Hauptfrucht)</t>
    </r>
    <r>
      <rPr>
        <i/>
        <sz val="12"/>
        <color theme="1"/>
        <rFont val="Calibri"/>
        <family val="2"/>
        <scheme val="minor"/>
      </rPr>
      <t>, jeweils im Durchschnitt der Flächen im Nitrat belasteten Gebiet (siehe Tab.blatt "Auswertung"). Beachten Sie auch die Begrenzung bei Zwischenfrüchten: Düngung nur bei Futternutzung und max. 30 kg NH</t>
    </r>
    <r>
      <rPr>
        <i/>
        <vertAlign val="subscript"/>
        <sz val="12"/>
        <color theme="1"/>
        <rFont val="Calibri"/>
        <family val="2"/>
        <scheme val="minor"/>
      </rPr>
      <t>4</t>
    </r>
    <r>
      <rPr>
        <i/>
        <sz val="12"/>
        <color theme="1"/>
        <rFont val="Calibri"/>
        <family val="2"/>
        <scheme val="minor"/>
      </rPr>
      <t>-N/ha bzw. 60 kg Gesamt-N/ha.</t>
    </r>
  </si>
  <si>
    <t>Flächen/Bewirtschaftungs-Einheiten</t>
  </si>
  <si>
    <r>
      <t xml:space="preserve">Mit den folgenden Tabellenblättern mit den </t>
    </r>
    <r>
      <rPr>
        <b/>
        <sz val="12"/>
        <color theme="1"/>
        <rFont val="Calibri"/>
        <family val="2"/>
        <scheme val="minor"/>
      </rPr>
      <t>grünen</t>
    </r>
    <r>
      <rPr>
        <sz val="12"/>
        <color theme="1"/>
        <rFont val="Calibri"/>
        <family val="2"/>
        <scheme val="minor"/>
      </rPr>
      <t xml:space="preserve"> Reitern "</t>
    </r>
    <r>
      <rPr>
        <b/>
        <sz val="12"/>
        <color theme="1"/>
        <rFont val="Calibri"/>
        <family val="2"/>
        <scheme val="minor"/>
      </rPr>
      <t>DüV-N-Ackerbau</t>
    </r>
    <r>
      <rPr>
        <sz val="12"/>
        <color theme="1"/>
        <rFont val="Calibri"/>
        <family val="2"/>
        <scheme val="minor"/>
      </rPr>
      <t>", "</t>
    </r>
    <r>
      <rPr>
        <b/>
        <sz val="12"/>
        <color theme="1"/>
        <rFont val="Calibri"/>
        <family val="2"/>
        <scheme val="minor"/>
      </rPr>
      <t>DüV-N-Zweit-Zwischenfrucht</t>
    </r>
    <r>
      <rPr>
        <sz val="12"/>
        <color theme="1"/>
        <rFont val="Calibri"/>
        <family val="2"/>
        <scheme val="minor"/>
      </rPr>
      <t>",  "</t>
    </r>
    <r>
      <rPr>
        <b/>
        <sz val="12"/>
        <color theme="1"/>
        <rFont val="Calibri"/>
        <family val="2"/>
        <scheme val="minor"/>
      </rPr>
      <t>DüV-N-Grünland", "DüV-N-Feldfutter</t>
    </r>
    <r>
      <rPr>
        <sz val="12"/>
        <color theme="1"/>
        <rFont val="Calibri"/>
        <family val="2"/>
        <scheme val="minor"/>
      </rPr>
      <t>" und "</t>
    </r>
    <r>
      <rPr>
        <b/>
        <sz val="12"/>
        <color theme="1"/>
        <rFont val="Calibri"/>
        <family val="2"/>
        <scheme val="minor"/>
      </rPr>
      <t>N-Weinbau</t>
    </r>
    <r>
      <rPr>
        <sz val="12"/>
        <color theme="1"/>
        <rFont val="Calibri"/>
        <family val="2"/>
        <scheme val="minor"/>
      </rPr>
      <t xml:space="preserve">" errechnen Sie die N-Obergrenzen und die zulässige P-Düngung für alle Kulturen des Ackerbaus, der Zweit- und Zwischenfrüchte, des Futterbaus (Feldfutter und Grünland) sowie des Weinbaus für ihre Bewirtschaftungseinheiten oder Schläge </t>
    </r>
    <r>
      <rPr>
        <b/>
        <sz val="12"/>
        <color theme="1"/>
        <rFont val="Calibri"/>
        <family val="2"/>
        <scheme val="minor"/>
      </rPr>
      <t>auf je einem Blatt</t>
    </r>
    <r>
      <rPr>
        <sz val="12"/>
        <color theme="1"/>
        <rFont val="Calibri"/>
        <family val="2"/>
        <scheme val="minor"/>
      </rPr>
      <t xml:space="preserve">.  Daneben können Sie die tatsächliche Düngung dieser Flächen dokumentieren, und bei Grünland auch den Weidegang. Dies ist die einfachste Möglichkeit, die Anforderungen der Düngeverordnung an die Bedarfsermittlung und die Aufzeichnungen der Düngung zu erfüllen.  Die Tabellenblätter mit den grünen Reitern benutzen Sie für die Planung und Dokumentation von </t>
    </r>
    <r>
      <rPr>
        <b/>
        <sz val="12"/>
        <color theme="1"/>
        <rFont val="Calibri"/>
        <family val="2"/>
        <scheme val="minor"/>
      </rPr>
      <t>Flächen in nicht mit Nitrat belasteten Gebieten</t>
    </r>
    <r>
      <rPr>
        <sz val="12"/>
        <color theme="1"/>
        <rFont val="Calibri"/>
        <family val="2"/>
        <scheme val="minor"/>
      </rPr>
      <t>, also ohne die zusätzlichen Auflagen zur Begrenzung der N-Düngung.  Die Düngebedarfsermittlung muss jeweils vor der Düngung erfolgt sein, die Aufzeichnung innerhalb von jeweils 2 Tagen nach einer Düngung. Bei vollständiger Aufzeichnung werden automatisch die notwendigen Summenbildungen durchgeführt.</t>
    </r>
  </si>
  <si>
    <r>
      <t xml:space="preserve">Mit den Tabellenblättern </t>
    </r>
    <r>
      <rPr>
        <b/>
        <sz val="12"/>
        <rFont val="Calibri"/>
        <family val="2"/>
        <scheme val="minor"/>
      </rPr>
      <t>PKMg-Planer</t>
    </r>
    <r>
      <rPr>
        <sz val="12"/>
        <rFont val="Calibri"/>
        <family val="2"/>
        <scheme val="minor"/>
      </rPr>
      <t xml:space="preserve"> können Sie den Bedarf an P, K und Mg über verschiedene </t>
    </r>
    <r>
      <rPr>
        <b/>
        <sz val="12"/>
        <rFont val="Calibri"/>
        <family val="2"/>
        <scheme val="minor"/>
      </rPr>
      <t>Fruchtfolgen des Ackerlands</t>
    </r>
    <r>
      <rPr>
        <sz val="12"/>
        <rFont val="Calibri"/>
        <family val="2"/>
        <scheme val="minor"/>
      </rPr>
      <t xml:space="preserve"> sowie für </t>
    </r>
    <r>
      <rPr>
        <b/>
        <sz val="12"/>
        <rFont val="Calibri"/>
        <family val="2"/>
        <scheme val="minor"/>
      </rPr>
      <t>Grünland</t>
    </r>
    <r>
      <rPr>
        <sz val="12"/>
        <rFont val="Calibri"/>
        <family val="2"/>
        <scheme val="minor"/>
      </rPr>
      <t xml:space="preserve"> bei unterschiedlicher Nährstoffversorgung des Bodens errechnen. Diese beiden Tabellenblätter sind völlig unabhängig und stehen in keiner Verbindung zu den übrigen.</t>
    </r>
  </si>
  <si>
    <r>
      <t xml:space="preserve">Mit den weiteren Tabellenblättern zu einzelnen </t>
    </r>
    <r>
      <rPr>
        <b/>
        <sz val="12"/>
        <color theme="1"/>
        <rFont val="Calibri"/>
        <family val="2"/>
        <scheme val="minor"/>
      </rPr>
      <t>Kulturen des Ackerbaus</t>
    </r>
    <r>
      <rPr>
        <sz val="12"/>
        <color theme="1"/>
        <rFont val="Calibri"/>
        <family val="2"/>
        <scheme val="minor"/>
      </rPr>
      <t xml:space="preserve"> können Sie neben der </t>
    </r>
    <r>
      <rPr>
        <b/>
        <sz val="12"/>
        <color theme="1"/>
        <rFont val="Calibri"/>
        <family val="2"/>
        <scheme val="minor"/>
      </rPr>
      <t xml:space="preserve">N-Bedarfsermittlung gemäß Düngeverordnung </t>
    </r>
    <r>
      <rPr>
        <sz val="12"/>
        <color theme="1"/>
        <rFont val="Calibri"/>
        <family val="2"/>
        <scheme val="minor"/>
      </rPr>
      <t>(auf Basis von Ertrag, N</t>
    </r>
    <r>
      <rPr>
        <vertAlign val="subscript"/>
        <sz val="12"/>
        <color theme="1"/>
        <rFont val="Calibri"/>
        <family val="2"/>
        <scheme val="minor"/>
      </rPr>
      <t>min</t>
    </r>
    <r>
      <rPr>
        <sz val="12"/>
        <color theme="1"/>
        <rFont val="Calibri"/>
        <family val="2"/>
        <scheme val="minor"/>
      </rPr>
      <t xml:space="preserve">, Vor- und Zwischenfrucht sowie letztjähriger organischer Düngung) durch Eingabe weniger weiterer Faktoren </t>
    </r>
    <r>
      <rPr>
        <b/>
        <sz val="12"/>
        <color theme="1"/>
        <rFont val="Calibri"/>
        <family val="2"/>
        <scheme val="minor"/>
      </rPr>
      <t xml:space="preserve">zusätzlich eine N-Düngeempfehlung </t>
    </r>
    <r>
      <rPr>
        <sz val="12"/>
        <color theme="1"/>
        <rFont val="Calibri"/>
        <family val="2"/>
        <scheme val="minor"/>
      </rPr>
      <t xml:space="preserve">berechnen, die von der Düngeverordnung abweichen kann. Dies ist sinnvoll, wenn der N-Bedarf wahrscheinlich geringer ist, als gemäß Düngeverordnung zulässig, wie z.B. bei Sommer-Braugerste, aber auch, wenn der N-Bedarf eventuell höher sein sollte. Im Vergleich zum Tabellenblatt "DüV-N-Ackerbau" ist die Vorgehensweise übersichtlicher und es wird die </t>
    </r>
    <r>
      <rPr>
        <b/>
        <sz val="12"/>
        <color theme="1"/>
        <rFont val="Calibri"/>
        <family val="2"/>
        <scheme val="minor"/>
      </rPr>
      <t>Berechnung einer organischen Düngung</t>
    </r>
    <r>
      <rPr>
        <sz val="12"/>
        <color theme="1"/>
        <rFont val="Calibri"/>
        <family val="2"/>
        <scheme val="minor"/>
      </rPr>
      <t xml:space="preserve"> ermöglicht. Außerdem wird hier die gemäß Düngeverordnung zulässige Phosphatzufuhr berechnet wie auch eine </t>
    </r>
    <r>
      <rPr>
        <b/>
        <sz val="12"/>
        <color theme="1"/>
        <rFont val="Calibri"/>
        <family val="2"/>
        <scheme val="minor"/>
      </rPr>
      <t>P-Düngeempfehlung in den einzelnen P-Gehaltsklassen</t>
    </r>
    <r>
      <rPr>
        <sz val="12"/>
        <color theme="1"/>
        <rFont val="Calibri"/>
        <family val="2"/>
        <scheme val="minor"/>
      </rPr>
      <t>. Alle kulturspezifischen Tabellenblätter sind nicht mit den übrigen verknüpft. Ihre Benutzung ist zudem nicht verpflichtend, sofern Sie mit den Tabellenblättern mit den grünen und roten Reitern ihren Düngebedarf entsprechend der Düngeverordnung ermitteln.</t>
    </r>
  </si>
  <si>
    <r>
      <t xml:space="preserve">In den Tabellenblättern für </t>
    </r>
    <r>
      <rPr>
        <b/>
        <sz val="12"/>
        <color theme="1"/>
        <rFont val="Calibri"/>
        <family val="2"/>
        <scheme val="minor"/>
      </rPr>
      <t>Grünland</t>
    </r>
    <r>
      <rPr>
        <sz val="12"/>
        <color theme="1"/>
        <rFont val="Calibri"/>
        <family val="2"/>
        <scheme val="minor"/>
      </rPr>
      <t xml:space="preserve"> (Wiesen, Weiden, Mähweiden) und </t>
    </r>
    <r>
      <rPr>
        <b/>
        <sz val="12"/>
        <color theme="1"/>
        <rFont val="Calibri"/>
        <family val="2"/>
        <scheme val="minor"/>
      </rPr>
      <t>Feldfutter</t>
    </r>
    <r>
      <rPr>
        <sz val="12"/>
        <color theme="1"/>
        <rFont val="Calibri"/>
        <family val="2"/>
        <scheme val="minor"/>
      </rPr>
      <t xml:space="preserve"> (Gras, Klee, Luzerne) wird der N-Bedarf gemäß Düngeverordnung ohne die Berücksichtigung von N</t>
    </r>
    <r>
      <rPr>
        <vertAlign val="subscript"/>
        <sz val="12"/>
        <color theme="1"/>
        <rFont val="Calibri"/>
        <family val="2"/>
        <scheme val="minor"/>
      </rPr>
      <t>min</t>
    </r>
    <r>
      <rPr>
        <sz val="12"/>
        <color theme="1"/>
        <rFont val="Calibri"/>
        <family val="2"/>
        <scheme val="minor"/>
      </rPr>
      <t>-Gehalten, aber unter Berücksichtigung von Humusgehalten und des Leguminosenanteils ermittelt.  Im Vergleich zu den Tabellenblättern "DüV-N-Grünland" und"DüV-N-Feldfutter" ist die Vorgehensweise übersichtlicher und es wird die Berechnung einer organischen Düngung ermöglicht.</t>
    </r>
  </si>
  <si>
    <t xml:space="preserve">Die Verwendung des Programms und seiner Inhalte erfolgt auf eigene Verantwortung. Die Anwendung wurde nach bestem Wissen und Gewissen erstellt, wobei der aktuelle Stand der Umsetzung der Düngeverordnung berücksichtigt wurde. Eine Haftung kann jedoch nicht übernommen werden, auch nicht für die Zuverlässigkeit der N-Düngeempfehlungen. </t>
  </si>
  <si>
    <t>Bemerkungen</t>
  </si>
  <si>
    <t>Liegen für organische Düngemittel (Wirtschaftsdg. Klärschlamm, Kompost, Gärreste etc.), die bezogen oder abgegeben werden, individuelle Nährstoffgehalte vor, müssen diese im Tabellenblatt "Düngemittel" ergänzt werden. Dafür sind die Zeilen mit "andere ...." vorgesehen. Dabei ist darauf zu achten, dass die %-N-Wirkung richtig eingetragen wird, indem sie von vergleichbaren Produkten bzw. der Düngeverordnung übernommen werden. Werden nur Wirtschaftsdünger der eigenen Tierhaltung ausschließlich auf eigenen Flächen verwertet, muss nichts geändert werden, da die Nährstoffmengen eigener tierischen Wirtschaftsdünger über die Tierbestände erfasst werden (Tabellenblatt "Tierhaltung").</t>
  </si>
  <si>
    <r>
      <rPr>
        <b/>
        <sz val="12"/>
        <color rgb="FFFF0000"/>
        <rFont val="Calibri"/>
        <family val="2"/>
        <scheme val="minor"/>
      </rPr>
      <t xml:space="preserve">Düngebedarfsermittlung: </t>
    </r>
    <r>
      <rPr>
        <b/>
        <sz val="12"/>
        <color theme="1"/>
        <rFont val="Calibri"/>
        <family val="2"/>
        <scheme val="minor"/>
      </rPr>
      <t>Berechnung der "standortbezogenen N-Obergrenzen" sowie der Phosphatabfuhr (als Grundlage der P-Düngebedarfsermittlung) für Grünland                                                                                                                                  Spalte E: %-Ertragsanteile bei 24-stündiger Weidenutzung;  Spalte F: %-Ertragsanteile bei 12-stündiger Weidenutzung.  Bitte nicht mehr als zusammen 100 % eintragen. 0 % Weide bedeutet reine Schnittnutzung.</t>
    </r>
  </si>
  <si>
    <r>
      <rPr>
        <b/>
        <sz val="12"/>
        <color rgb="FFFF0000"/>
        <rFont val="Calibri"/>
        <family val="2"/>
        <scheme val="minor"/>
      </rPr>
      <t xml:space="preserve">Düngebedarfsermittlung: </t>
    </r>
    <r>
      <rPr>
        <b/>
        <sz val="12"/>
        <color theme="1"/>
        <rFont val="Calibri"/>
        <family val="2"/>
        <scheme val="minor"/>
      </rPr>
      <t>Berechnung der "standortbezogenen N-Obergrenzen" sowie der Phosphatabfuhr (als Grundlage der P-Düngebedarfsermittlung) für Grünland                                                                                                                                                 Spalte E: %-Ertragsanteile bei 24-stündiger Weidenutzung;  Spalte F: %-Ertragsanteile bei 12-stündiger Weidenutzung.  Bitte nicht mehr als zusammen 100 % eintragen. 0 % Weide bedeutet reine Schnittnutzung.</t>
    </r>
  </si>
  <si>
    <t>Tabelle ist ungeschützt, um im Ausnahmefall ggf. eigene, nachweisbare Werte eintragen zu können! Ansonsten bitte hier nichts ändern.</t>
  </si>
  <si>
    <r>
      <t xml:space="preserve">Aufnahme (Zukauf) und Abgabe (Verkauf) von organischen Düngern                                                                                                                                             </t>
    </r>
    <r>
      <rPr>
        <b/>
        <sz val="12"/>
        <color theme="1"/>
        <rFont val="Calibri"/>
        <family val="2"/>
        <scheme val="minor"/>
      </rPr>
      <t xml:space="preserve">           (Wirtschaftsdünger, Kompost, Klärschlamm etc.)                                                          </t>
    </r>
    <r>
      <rPr>
        <b/>
        <sz val="14"/>
        <color theme="1"/>
        <rFont val="Calibri"/>
        <family val="2"/>
        <scheme val="minor"/>
      </rPr>
      <t>einschließlich der Verwertung von Gärresten aus einer eigenen Biogasanlage</t>
    </r>
  </si>
  <si>
    <t>Aufnahme (Zukauf) organischer Dünger einschl. der Verwertung von Gärresten, auch aus einer eigenen Biogasanlage</t>
  </si>
  <si>
    <t>Bitte die Codes nicht ändern</t>
  </si>
  <si>
    <t>Abgabe (Verkauf) organischer Dünger (nur aus der eigenen Tierhaltung)</t>
  </si>
  <si>
    <t>Anrechnung wie bei 170 kg N-Obergrenze bzw. Nährstoffe in Wirtschaftsdüngern</t>
  </si>
  <si>
    <r>
      <rPr>
        <b/>
        <sz val="12"/>
        <rFont val="Calibri"/>
        <family val="2"/>
        <scheme val="minor"/>
      </rPr>
      <t xml:space="preserve">Sollwerte   </t>
    </r>
    <r>
      <rPr>
        <b/>
        <sz val="8"/>
        <rFont val="Calibri"/>
        <family val="2"/>
        <scheme val="minor"/>
      </rPr>
      <t xml:space="preserve">                                                                                                      abh. von Ertrag und Höhe üNN</t>
    </r>
  </si>
  <si>
    <t>Festmist, Kompost</t>
  </si>
  <si>
    <t>flüssige Schweinegülle</t>
  </si>
  <si>
    <t>fest: Gärreste, Klärschl., Schw.gülle</t>
  </si>
  <si>
    <t>flüssig: Gärreste,  Klärschl.</t>
  </si>
  <si>
    <r>
      <t xml:space="preserve">Weideperiode von ... bis ... oder Zeitraum </t>
    </r>
    <r>
      <rPr>
        <sz val="8"/>
        <color theme="1"/>
        <rFont val="Calibri"/>
        <family val="2"/>
        <scheme val="minor"/>
      </rPr>
      <t>(freiwillige Angabe)</t>
    </r>
  </si>
  <si>
    <t>Bsp. Gärrest für Acker</t>
  </si>
  <si>
    <t>auf Grünland bis 2024 60 %</t>
  </si>
  <si>
    <t>auf Grünland bis 2024 50 %</t>
  </si>
  <si>
    <t>Mindest-</t>
  </si>
  <si>
    <r>
      <t>Zweit- und Zwischenfrucht-Kulturen mit N-Bedarfsermittlung ohne Berücksichtigung von N</t>
    </r>
    <r>
      <rPr>
        <b/>
        <vertAlign val="subscript"/>
        <sz val="12"/>
        <color theme="1"/>
        <rFont val="Calibri"/>
        <family val="2"/>
        <scheme val="minor"/>
      </rPr>
      <t>min</t>
    </r>
    <r>
      <rPr>
        <b/>
        <sz val="12"/>
        <color theme="1"/>
        <rFont val="Calibri"/>
        <family val="2"/>
        <scheme val="minor"/>
      </rPr>
      <t>:                           Kultur auswählen</t>
    </r>
  </si>
  <si>
    <t>Zwischenfrucht ohne Ernte</t>
  </si>
  <si>
    <t>Zwischenfrucht mit Ernte</t>
  </si>
  <si>
    <r>
      <rPr>
        <b/>
        <sz val="12"/>
        <color rgb="FFFF0000"/>
        <rFont val="Calibri"/>
        <family val="2"/>
        <scheme val="minor"/>
      </rPr>
      <t>Düngebedarfsermittlung:</t>
    </r>
    <r>
      <rPr>
        <b/>
        <sz val="12"/>
        <color theme="1"/>
        <rFont val="Calibri"/>
        <family val="2"/>
        <scheme val="minor"/>
      </rPr>
      <t xml:space="preserve"> Berechnung der "standortbezogenen N-Obergrenzen" (ohne Berücksichtigung von N</t>
    </r>
    <r>
      <rPr>
        <b/>
        <vertAlign val="subscript"/>
        <sz val="12"/>
        <color theme="1"/>
        <rFont val="Calibri"/>
        <family val="2"/>
        <scheme val="minor"/>
      </rPr>
      <t>min</t>
    </r>
    <r>
      <rPr>
        <b/>
        <sz val="12"/>
        <color theme="1"/>
        <rFont val="Calibri"/>
        <family val="2"/>
        <scheme val="minor"/>
      </rPr>
      <t xml:space="preserve">) sowie der Phosphatabfuhr (als Grundlage der P-Düngebedarfsermittlung) für den Zwischen- und  Zweitfruchtbau </t>
    </r>
  </si>
  <si>
    <r>
      <rPr>
        <b/>
        <sz val="12"/>
        <color rgb="FFFF0000"/>
        <rFont val="Calibri"/>
        <family val="2"/>
        <scheme val="minor"/>
      </rPr>
      <t>Düngebedarfsermittlung:</t>
    </r>
    <r>
      <rPr>
        <b/>
        <sz val="12"/>
        <color theme="1"/>
        <rFont val="Calibri"/>
        <family val="2"/>
        <scheme val="minor"/>
      </rPr>
      <t xml:space="preserve"> Berechnung der "standortbezogenen N-Obergrenzen" (ohne Berücksichtigung von N</t>
    </r>
    <r>
      <rPr>
        <b/>
        <vertAlign val="subscript"/>
        <sz val="12"/>
        <color theme="1"/>
        <rFont val="Calibri"/>
        <family val="2"/>
        <scheme val="minor"/>
      </rPr>
      <t>min</t>
    </r>
    <r>
      <rPr>
        <b/>
        <sz val="12"/>
        <color theme="1"/>
        <rFont val="Calibri"/>
        <family val="2"/>
        <scheme val="minor"/>
      </rPr>
      <t>) sowie der Phosphatabfuhr (als Grundlage der P-Düngebedarfsermittlung) für den Ackerfutterbau</t>
    </r>
  </si>
  <si>
    <r>
      <t xml:space="preserve">Im Durchschnitt der Flächen (in Nitrat-belasteten Gebieten auf jeder einzelnen Bewirtschaftungs-Einheit) dürfen Sie </t>
    </r>
    <r>
      <rPr>
        <b/>
        <sz val="14"/>
        <color rgb="FFFF0000"/>
        <rFont val="Calibri"/>
        <family val="2"/>
        <scheme val="minor"/>
      </rPr>
      <t>max. 170 kg N/ha aus organischen Düngern</t>
    </r>
    <r>
      <rPr>
        <b/>
        <sz val="14"/>
        <rFont val="Calibri"/>
        <family val="2"/>
        <scheme val="minor"/>
      </rPr>
      <t xml:space="preserve"> zuführen. </t>
    </r>
  </si>
  <si>
    <r>
      <t xml:space="preserve">  Nehmen Sie Anpassungen in den vorstehenden Tabellenblättern (DüV-N....) vor, nicht hier. Bevor Sie die N-Düngung um 20 % reduzieren, überprüfen Sie erst, ob Sie eve</t>
    </r>
    <r>
      <rPr>
        <b/>
        <sz val="14"/>
        <rFont val="Calibri"/>
        <family val="2"/>
        <scheme val="minor"/>
      </rPr>
      <t>ntuell auch mit "80 von 160</t>
    </r>
    <r>
      <rPr>
        <b/>
        <sz val="14"/>
        <color theme="1"/>
        <rFont val="Calibri"/>
        <family val="2"/>
        <scheme val="minor"/>
      </rPr>
      <t>" zurecht kommen. Alle im Ertrag stehenden Kulturen, auch Weinbau-, Leguminosen- und beweidete Flächen, zählen im "80 von 160"-Durchschnitt mit, wobei die von Weidetieren abgesetzten Nährstoffe hierbei nicht als Düngung zählen.</t>
    </r>
  </si>
  <si>
    <t>Zweit- /Zwischenfrüchte mit Futternutz.</t>
  </si>
  <si>
    <t>Die Abgabe und Aufnahme organischer Dünger erfolgt im Tabellenblatt "Organ. Dünger". Wenn abgegebene Wirtschaftsdünger bestimmten Tieren zuzuordnen sind, können diese Tiere hier in einer eigenen Zeile erfasst werden (in Spalte C "Abgabe an andere Betriebe" auswählen). Sie dürfen dann nicht noch einmal im Tab.blatt "Organ. Dünger" als verkauft eingetragen werden.</t>
  </si>
  <si>
    <t>bis 2024 mind. 60 %</t>
  </si>
  <si>
    <t>bis 2024 mind. 50 %</t>
  </si>
  <si>
    <t>Im Tabellenblatt "Düngemittel" ergänzen Sie bitte von Ihnen benutzte, aber hier noch nicht aufgeführte Düngemittel. Dazu gehören auch alle organischen Düngemittel (mit Ausnahme von zulässigen Tabellenwerten). Alle Dünger müssen unbedingt mit einer %-N-Wirkung versehen sein (denn daran unterscheidet diese Anwendung die mineralischen (100 % N-Wirkung) von den organischen (N-Wirkung ist geringer als 100 %) Düngemitteln.</t>
  </si>
  <si>
    <r>
      <t xml:space="preserve">einschließlich </t>
    </r>
    <r>
      <rPr>
        <b/>
        <sz val="14"/>
        <color rgb="FFFF0000"/>
        <rFont val="Calibri"/>
        <family val="2"/>
        <scheme val="minor"/>
      </rPr>
      <t xml:space="preserve">Prüfung der 170 kg N/ha im Betriebsdurchschnitt </t>
    </r>
    <r>
      <rPr>
        <b/>
        <sz val="12"/>
        <color rgb="FFFF0000"/>
        <rFont val="Calibri"/>
        <family val="2"/>
        <scheme val="minor"/>
      </rPr>
      <t>(ab Zeile 57)</t>
    </r>
  </si>
  <si>
    <t>Nährstoffe aus eigener Tierhaltung (Tab.blatt Tierhaltung)</t>
  </si>
  <si>
    <t>aus dem Weidegang</t>
  </si>
  <si>
    <r>
      <rPr>
        <b/>
        <sz val="14"/>
        <color rgb="FFFF0000"/>
        <rFont val="Calibri"/>
        <family val="2"/>
        <scheme val="minor"/>
      </rPr>
      <t>Prüfung der 170 kg N/ha-Obergrenze</t>
    </r>
    <r>
      <rPr>
        <sz val="14"/>
        <color rgb="FFFF0000"/>
        <rFont val="Calibri"/>
        <family val="2"/>
        <scheme val="minor"/>
      </rPr>
      <t xml:space="preserve"> (im Betriebsdurchschnitt; unabhängig von der Düngebedarfsermittlung und den Aufzeichnungen zur Düngung selbst)</t>
    </r>
  </si>
  <si>
    <t>mit Gülle, Festmist und Jauche</t>
  </si>
  <si>
    <t>kg Gesamt-N</t>
  </si>
  <si>
    <t>kg verfügbare Nährstoffe aufgenommen</t>
  </si>
  <si>
    <t>kg verfügbare Nährstoffe abgegeben</t>
  </si>
  <si>
    <t>mit organischen Düngern zugekauft einschl. Gärreste aus eigenere Biogasanlage</t>
  </si>
  <si>
    <t>mit organischen Düngern aus eigener Tierhaltung verkauft</t>
  </si>
  <si>
    <t>minus</t>
  </si>
  <si>
    <t>Gesamt-N aus organischer Düngung</t>
  </si>
  <si>
    <t>bei</t>
  </si>
  <si>
    <t xml:space="preserve">bei </t>
  </si>
  <si>
    <t>ha freie Eingabe</t>
  </si>
  <si>
    <t>Unterschiedliche N-Mengen aus organischer Düngung (im Vergleich zum Wert im Tab.blatt "Auswertung") können durch eine unvollständige Düngeplanung entstehen sowie durch unzutreffende Tabellenwerte bei Nährstoffausscheidungen (nach DüV), unzutreffende Mengenangaben sowie unzutreffende Analysen- und Tabellenwerte aus der Düngeplanung.</t>
  </si>
  <si>
    <t>ha (ha entsprechend der Düngebedarfsermittlung bzw. Tab.blatt "Auswertung")</t>
  </si>
  <si>
    <t>Gesamter Betrieb</t>
  </si>
  <si>
    <t>abzgl. 20 % N =</t>
  </si>
  <si>
    <t>gesamt-N (alle Dünger)</t>
  </si>
  <si>
    <r>
      <t>kg P</t>
    </r>
    <r>
      <rPr>
        <b/>
        <vertAlign val="subscript"/>
        <sz val="11"/>
        <rFont val="Calibri"/>
        <family val="2"/>
        <scheme val="minor"/>
      </rPr>
      <t>2</t>
    </r>
    <r>
      <rPr>
        <b/>
        <sz val="11"/>
        <rFont val="Calibri"/>
        <family val="2"/>
        <scheme val="minor"/>
      </rPr>
      <t>O</t>
    </r>
    <r>
      <rPr>
        <b/>
        <vertAlign val="subscript"/>
        <sz val="11"/>
        <rFont val="Calibri"/>
        <family val="2"/>
        <scheme val="minor"/>
      </rPr>
      <t>5</t>
    </r>
    <r>
      <rPr>
        <b/>
        <sz val="11"/>
        <rFont val="Calibri"/>
        <family val="2"/>
        <scheme val="minor"/>
      </rPr>
      <t xml:space="preserve"> gesamt</t>
    </r>
  </si>
  <si>
    <t>N-Gesamt</t>
  </si>
  <si>
    <t>Ges.-N org. Dünger</t>
  </si>
  <si>
    <t>Ges.-N organ. Dünger</t>
  </si>
  <si>
    <t>Anzurechnende Mindestwerte bei der N-Düngung in % der Ausscheid. an Gesamt-N nach Abzug der Stall- und Lagerungsverluste multipliziert mit MDÄ</t>
  </si>
  <si>
    <r>
      <t>Anrechnung auf N-Bedarf von Ackerland (auch Grünland ab 2025), jeweils incl. 10 % N-Nachlieferung (</t>
    </r>
    <r>
      <rPr>
        <b/>
        <sz val="12"/>
        <rFont val="Calibri"/>
        <family val="2"/>
        <scheme val="minor"/>
      </rPr>
      <t>MDÄ)</t>
    </r>
  </si>
  <si>
    <t>kg verfügb. N</t>
  </si>
  <si>
    <t>---</t>
  </si>
  <si>
    <t>Gesamt-N organ. Dünger</t>
  </si>
  <si>
    <t>aus organ. Düngern stehen bereit:</t>
  </si>
  <si>
    <t>Verfügb. N organ. Dünger</t>
  </si>
  <si>
    <t>kg/ha verfügb. N</t>
  </si>
  <si>
    <t>kg /ha Ges.-N organ. Dg.</t>
  </si>
  <si>
    <t>kg Summe gedüngt</t>
  </si>
  <si>
    <t>Summe max.</t>
  </si>
  <si>
    <r>
      <t>zulässige N-Düngung</t>
    </r>
    <r>
      <rPr>
        <b/>
        <i/>
        <sz val="12"/>
        <rFont val="Calibri"/>
        <family val="2"/>
        <scheme val="minor"/>
      </rPr>
      <t xml:space="preserve"> (</t>
    </r>
    <r>
      <rPr>
        <b/>
        <i/>
        <sz val="12"/>
        <color rgb="FFFF0000"/>
        <rFont val="Calibri"/>
        <family val="2"/>
        <scheme val="minor"/>
      </rPr>
      <t>entweder "minus 20 %", d.h. alle roten Zahlen,</t>
    </r>
    <r>
      <rPr>
        <b/>
        <i/>
        <sz val="12"/>
        <color theme="1"/>
        <rFont val="Calibri"/>
        <family val="2"/>
        <scheme val="minor"/>
      </rPr>
      <t xml:space="preserve"> </t>
    </r>
    <r>
      <rPr>
        <b/>
        <i/>
        <sz val="12"/>
        <color rgb="FF1C21DA"/>
        <rFont val="Calibri"/>
        <family val="2"/>
        <scheme val="minor"/>
      </rPr>
      <t>oder "80 von 160", d.h. alle blauen Zahlen</t>
    </r>
    <r>
      <rPr>
        <b/>
        <i/>
        <sz val="12"/>
        <rFont val="Calibri"/>
        <family val="2"/>
        <scheme val="minor"/>
      </rPr>
      <t xml:space="preserve">) </t>
    </r>
    <r>
      <rPr>
        <b/>
        <i/>
        <sz val="12"/>
        <color theme="1"/>
        <rFont val="Calibri"/>
        <family val="2"/>
        <scheme val="minor"/>
      </rPr>
      <t>einhalten!</t>
    </r>
  </si>
  <si>
    <t>zulässige Düngung bei um 20 % reduziertem N-Bedarf in Nitrat-belasteten Flächen</t>
  </si>
  <si>
    <r>
      <t>P</t>
    </r>
    <r>
      <rPr>
        <vertAlign val="subscript"/>
        <sz val="12"/>
        <color theme="1" tint="0.14999847407452621"/>
        <rFont val="Calibri"/>
        <family val="2"/>
        <scheme val="minor"/>
      </rPr>
      <t>2</t>
    </r>
    <r>
      <rPr>
        <sz val="12"/>
        <color theme="1" tint="0.14999847407452621"/>
        <rFont val="Calibri"/>
        <family val="2"/>
        <scheme val="minor"/>
      </rPr>
      <t>O</t>
    </r>
    <r>
      <rPr>
        <vertAlign val="subscript"/>
        <sz val="12"/>
        <color theme="1" tint="0.14999847407452621"/>
        <rFont val="Calibri"/>
        <family val="2"/>
        <scheme val="minor"/>
      </rPr>
      <t>5</t>
    </r>
  </si>
  <si>
    <r>
      <t>P</t>
    </r>
    <r>
      <rPr>
        <b/>
        <vertAlign val="subscript"/>
        <sz val="12"/>
        <color theme="1" tint="0.14999847407452621"/>
        <rFont val="Calibri"/>
        <family val="2"/>
        <scheme val="minor"/>
      </rPr>
      <t>2</t>
    </r>
    <r>
      <rPr>
        <b/>
        <sz val="12"/>
        <color theme="1" tint="0.14999847407452621"/>
        <rFont val="Calibri"/>
        <family val="2"/>
        <scheme val="minor"/>
      </rPr>
      <t>O</t>
    </r>
    <r>
      <rPr>
        <b/>
        <vertAlign val="subscript"/>
        <sz val="12"/>
        <color theme="1" tint="0.14999847407452621"/>
        <rFont val="Calibri"/>
        <family val="2"/>
        <scheme val="minor"/>
      </rPr>
      <t>5</t>
    </r>
  </si>
  <si>
    <r>
      <t>kg P</t>
    </r>
    <r>
      <rPr>
        <b/>
        <vertAlign val="subscript"/>
        <sz val="12"/>
        <color theme="1" tint="0.14999847407452621"/>
        <rFont val="Calibri"/>
        <family val="2"/>
        <scheme val="minor"/>
      </rPr>
      <t>2</t>
    </r>
    <r>
      <rPr>
        <b/>
        <sz val="12"/>
        <color theme="1" tint="0.14999847407452621"/>
        <rFont val="Calibri"/>
        <family val="2"/>
        <scheme val="minor"/>
      </rPr>
      <t>O</t>
    </r>
    <r>
      <rPr>
        <b/>
        <vertAlign val="subscript"/>
        <sz val="12"/>
        <color theme="1" tint="0.14999847407452621"/>
        <rFont val="Calibri"/>
        <family val="2"/>
        <scheme val="minor"/>
      </rPr>
      <t>5</t>
    </r>
  </si>
  <si>
    <t>bei niedriger P-Versorgung der Böden kann ggf. auch mehr P gedüngt werden.</t>
  </si>
  <si>
    <r>
      <t>kg/ha P</t>
    </r>
    <r>
      <rPr>
        <b/>
        <i/>
        <vertAlign val="subscript"/>
        <sz val="10"/>
        <color theme="2" tint="-0.749992370372631"/>
        <rFont val="Calibri"/>
        <family val="2"/>
        <scheme val="minor"/>
      </rPr>
      <t>2</t>
    </r>
    <r>
      <rPr>
        <b/>
        <i/>
        <sz val="10"/>
        <color theme="2" tint="-0.749992370372631"/>
        <rFont val="Calibri"/>
        <family val="2"/>
        <scheme val="minor"/>
      </rPr>
      <t>O</t>
    </r>
    <r>
      <rPr>
        <b/>
        <i/>
        <vertAlign val="subscript"/>
        <sz val="10"/>
        <color theme="2" tint="-0.749992370372631"/>
        <rFont val="Calibri"/>
        <family val="2"/>
        <scheme val="minor"/>
      </rPr>
      <t>5</t>
    </r>
  </si>
  <si>
    <t>davon aus eigener Tierhaltung</t>
  </si>
  <si>
    <t>Wegen unterschiedlicher Kombinationsmöglichkeiten mineral. und organischer Dgg. bei der "80 von 160"-Regelung können hier keine weiteren Angaben gemacht werden bzw. es wird zur Gesamtbetrachtung auf die oberen beiden Tabellen verwiesen.</t>
  </si>
  <si>
    <r>
      <t xml:space="preserve">In </t>
    </r>
    <r>
      <rPr>
        <b/>
        <sz val="14"/>
        <color rgb="FFFF0000"/>
        <rFont val="Calibri"/>
        <family val="2"/>
        <scheme val="minor"/>
      </rPr>
      <t>mit Nitrat belasteten Gebieten</t>
    </r>
    <r>
      <rPr>
        <b/>
        <sz val="14"/>
        <rFont val="Calibri"/>
        <family val="2"/>
        <scheme val="minor"/>
      </rPr>
      <t xml:space="preserve"> müssen Sie im Durchschnitt dieser Flächen entweder den ermittelten N-Bedarf mit der N-Düngung </t>
    </r>
    <r>
      <rPr>
        <b/>
        <sz val="14"/>
        <color rgb="FFFF0000"/>
        <rFont val="Calibri"/>
        <family val="2"/>
        <scheme val="minor"/>
      </rPr>
      <t xml:space="preserve">um mind. 20 % unterschreiten </t>
    </r>
    <r>
      <rPr>
        <b/>
        <sz val="14"/>
        <rFont val="Calibri"/>
        <family val="2"/>
        <scheme val="minor"/>
      </rPr>
      <t xml:space="preserve">(siehe Zeile 28), oder Sie düngen </t>
    </r>
    <r>
      <rPr>
        <b/>
        <sz val="14"/>
        <color rgb="FF1C21DA"/>
        <rFont val="Calibri"/>
        <family val="2"/>
        <scheme val="minor"/>
      </rPr>
      <t>durchschnittlich max. 160 kg Gesamt-N/ha und davon max. 80 kg/ha Mineraldünger-N</t>
    </r>
    <r>
      <rPr>
        <b/>
        <sz val="14"/>
        <rFont val="Calibri"/>
        <family val="2"/>
        <scheme val="minor"/>
      </rPr>
      <t xml:space="preserve"> (siehe Zeile 29).</t>
    </r>
  </si>
  <si>
    <t>Hier können Sie überprüfen, ob Sie die N-Obergrenzen einhalten! Sie dürfen nicht mehr verfügbaren N düngen, als es dem N-Bedarf der einzelnen Bewirtschaftungs-Einheiten entspricht. Die von Ihnen in den vorigen Tabellenblättern zur N-Düngung sowie zur Tierhaltung und organ. Düngern eingegebenen Daten werden hier zusammengefasst, um Ihnen eine Hilfestellung für eine eventuelle Anpassung ihrer Planungsdaten zu geben. Die Anwendung führt jedoch keine selbständige Optimierung durch!</t>
  </si>
  <si>
    <r>
      <t>Im Tabellenblatt "</t>
    </r>
    <r>
      <rPr>
        <b/>
        <sz val="12"/>
        <color theme="1"/>
        <rFont val="Calibri"/>
        <family val="2"/>
        <scheme val="minor"/>
      </rPr>
      <t>Auswertung</t>
    </r>
    <r>
      <rPr>
        <sz val="12"/>
        <color theme="1"/>
        <rFont val="Calibri"/>
        <family val="2"/>
        <scheme val="minor"/>
      </rPr>
      <t>" werden die Nährstoffe aus den einzelnen Tabellenblättern zur N-Düngebedarfsermittlung sowie zur Tierhaltung und den organischen Düngern automatisch aufsummiert. Hier können Sie im Falle der Bewirtschaftung von Flächen in mit Nitrat belasteten Gebieten anhand der von Ihnen im Voraus geplanten Düngergaben prüfen, ob Sie eher die Forderung nach "minus 20 %" erfüllen oder die "80 kg Mineral-N von 160 kg Gesamt-N" pro ha im Durchschnitt dieser Flächen einhalten bzw. einhalten können.</t>
    </r>
  </si>
  <si>
    <r>
      <t xml:space="preserve">Diese Angaben sind unabhängig von der Düngeplanung aus den Tab.blättern "Tierhaltung" und "Organ. Dünger" übernommen. Sie können damit die Planung der organischen Düngung an die vorhandene </t>
    </r>
    <r>
      <rPr>
        <b/>
        <sz val="12"/>
        <color rgb="FFFF0000"/>
        <rFont val="Calibri"/>
        <family val="2"/>
        <scheme val="minor"/>
      </rPr>
      <t xml:space="preserve">Gesamt-N-Menge ihrer organischen Dünger </t>
    </r>
    <r>
      <rPr>
        <b/>
        <sz val="12"/>
        <rFont val="Calibri"/>
        <family val="2"/>
        <scheme val="minor"/>
      </rPr>
      <t>anpassen.</t>
    </r>
  </si>
  <si>
    <r>
      <t xml:space="preserve">ungefährer Nährstoffzukauf (aufgrund des verfügbaren Stickstoffs und des Phosphats in organischen Düngern geschätzt) </t>
    </r>
    <r>
      <rPr>
        <b/>
        <i/>
        <sz val="14"/>
        <color rgb="FFC00000"/>
        <rFont val="Calibri"/>
        <family val="2"/>
        <scheme val="minor"/>
      </rPr>
      <t>bei "minus 20"</t>
    </r>
  </si>
  <si>
    <r>
      <t xml:space="preserve">Bei den jeweils folgenden Tabellenblättern mit den </t>
    </r>
    <r>
      <rPr>
        <b/>
        <sz val="12"/>
        <color theme="1"/>
        <rFont val="Calibri"/>
        <family val="2"/>
        <scheme val="minor"/>
      </rPr>
      <t>roten</t>
    </r>
    <r>
      <rPr>
        <sz val="12"/>
        <color theme="1"/>
        <rFont val="Calibri"/>
        <family val="2"/>
        <scheme val="minor"/>
      </rPr>
      <t xml:space="preserve"> Reitern "</t>
    </r>
    <r>
      <rPr>
        <b/>
        <sz val="12"/>
        <color theme="1"/>
        <rFont val="Calibri"/>
        <family val="2"/>
        <scheme val="minor"/>
      </rPr>
      <t>DüV-N-Ackerbau NbG</t>
    </r>
    <r>
      <rPr>
        <sz val="12"/>
        <color theme="1"/>
        <rFont val="Calibri"/>
        <family val="2"/>
        <scheme val="minor"/>
      </rPr>
      <t>", "</t>
    </r>
    <r>
      <rPr>
        <b/>
        <sz val="12"/>
        <color theme="1"/>
        <rFont val="Calibri"/>
        <family val="2"/>
        <scheme val="minor"/>
      </rPr>
      <t>DüV-N-Zweit-Zwischenfrucht NbG</t>
    </r>
    <r>
      <rPr>
        <sz val="12"/>
        <color theme="1"/>
        <rFont val="Calibri"/>
        <family val="2"/>
        <scheme val="minor"/>
      </rPr>
      <t>", "</t>
    </r>
    <r>
      <rPr>
        <b/>
        <sz val="12"/>
        <color theme="1"/>
        <rFont val="Calibri"/>
        <family val="2"/>
        <scheme val="minor"/>
      </rPr>
      <t>DüV-N-Grünland NbG", "DüV-N-Feldfutter NbG</t>
    </r>
    <r>
      <rPr>
        <sz val="12"/>
        <color theme="1"/>
        <rFont val="Calibri"/>
        <family val="2"/>
        <scheme val="minor"/>
      </rPr>
      <t>" und "</t>
    </r>
    <r>
      <rPr>
        <b/>
        <sz val="12"/>
        <color theme="1"/>
        <rFont val="Calibri"/>
        <family val="2"/>
        <scheme val="minor"/>
      </rPr>
      <t>N-Weinbau NbG</t>
    </r>
    <r>
      <rPr>
        <sz val="12"/>
        <color theme="1"/>
        <rFont val="Calibri"/>
        <family val="2"/>
        <scheme val="minor"/>
      </rPr>
      <t xml:space="preserve">" gehen Sie entsprechend vor wie bei den  Tabellenblättern mit den grünen Reitern. Jedoch nehmen Sie hier die Planung und Dokumentation der </t>
    </r>
    <r>
      <rPr>
        <b/>
        <sz val="12"/>
        <color theme="1"/>
        <rFont val="Calibri"/>
        <family val="2"/>
        <scheme val="minor"/>
      </rPr>
      <t xml:space="preserve">Flächen in mit Nitrat belasteten Gebieten </t>
    </r>
    <r>
      <rPr>
        <sz val="12"/>
        <color theme="1"/>
        <rFont val="Calibri"/>
        <family val="2"/>
        <scheme val="minor"/>
      </rPr>
      <t xml:space="preserve">("...NbG") vor, also mit Auflagen zur Begrenzung der N-Düngung. Die Düngebedarfsermittlung muss hierbei bis zum 31. März des laufenden Jahres abgeschlossen sein (auch wenn die Düngebedarfsermittlung z.T. auf Schätzwerten beruht). </t>
    </r>
  </si>
  <si>
    <t>Um die Aufzeichnungspflichten der Düngeverordnung zu erfüllen, müssen Sie die Tabellenblätter mit den grünen und roten Reitern (N-Düngebedarfsermittlung und Dokumentation der Düngung in unbelasteten und mit Nitrat belasteten Gebieten), das Tabellenblatt "Düngemittel" (insbes. wegen Nährstoffgehalten organischer Dünger) sowie bei Verwendung organischer Dünger die Tabellenblätter "Tierhaltung" und "Organ. Dünger" ausgefüllt haben.</t>
  </si>
  <si>
    <r>
      <t>Die Düngeverordnung schreibt (neben N) lediglich die Ermittlung des Phosphatbedarfes vor. Dies beinhaltet Bodenuntersuchungen von Schlägen ab 1 ha auf verfügbares P, sobald mehr als 30 kg P</t>
    </r>
    <r>
      <rPr>
        <vertAlign val="subscript"/>
        <sz val="14"/>
        <rFont val="Calibri"/>
        <family val="2"/>
        <scheme val="minor"/>
      </rPr>
      <t>2</t>
    </r>
    <r>
      <rPr>
        <sz val="14"/>
        <rFont val="Calibri"/>
        <family val="2"/>
        <scheme val="minor"/>
      </rPr>
      <t>O</t>
    </r>
    <r>
      <rPr>
        <vertAlign val="subscript"/>
        <sz val="14"/>
        <rFont val="Calibri"/>
        <family val="2"/>
        <scheme val="minor"/>
      </rPr>
      <t>5</t>
    </r>
    <r>
      <rPr>
        <sz val="14"/>
        <rFont val="Calibri"/>
        <family val="2"/>
        <scheme val="minor"/>
      </rPr>
      <t xml:space="preserve">/ha und Jahr zugeführt werden. Die Analysen dürfen jeweils nicht älter sein als 6 Jahre.                                                         Gemäß DüV dürfen Schläge mit Gehalten </t>
    </r>
    <r>
      <rPr>
        <b/>
        <sz val="14"/>
        <color rgb="FFFF0000"/>
        <rFont val="Calibri"/>
        <family val="2"/>
        <scheme val="minor"/>
      </rPr>
      <t>über 20 mg CAL- o. 3,6 mg EUF-löslichem P</t>
    </r>
    <r>
      <rPr>
        <b/>
        <vertAlign val="subscript"/>
        <sz val="14"/>
        <color rgb="FFFF0000"/>
        <rFont val="Calibri"/>
        <family val="2"/>
        <scheme val="minor"/>
      </rPr>
      <t>2</t>
    </r>
    <r>
      <rPr>
        <b/>
        <sz val="14"/>
        <color rgb="FFFF0000"/>
        <rFont val="Calibri"/>
        <family val="2"/>
        <scheme val="minor"/>
      </rPr>
      <t>O</t>
    </r>
    <r>
      <rPr>
        <b/>
        <vertAlign val="subscript"/>
        <sz val="14"/>
        <color rgb="FFFF0000"/>
        <rFont val="Calibri"/>
        <family val="2"/>
        <scheme val="minor"/>
      </rPr>
      <t>5</t>
    </r>
    <r>
      <rPr>
        <b/>
        <sz val="14"/>
        <color rgb="FFFF0000"/>
        <rFont val="Calibri"/>
        <family val="2"/>
        <scheme val="minor"/>
      </rPr>
      <t xml:space="preserve">/100 g Boden </t>
    </r>
    <r>
      <rPr>
        <sz val="14"/>
        <rFont val="Calibri"/>
        <family val="2"/>
        <scheme val="minor"/>
      </rPr>
      <t xml:space="preserve">maximal bis zur voraussichtlichen </t>
    </r>
    <r>
      <rPr>
        <b/>
        <sz val="14"/>
        <color rgb="FFFF0000"/>
        <rFont val="Calibri"/>
        <family val="2"/>
        <scheme val="minor"/>
      </rPr>
      <t xml:space="preserve">P-Abfuhr mit dem Erntegut </t>
    </r>
    <r>
      <rPr>
        <sz val="14"/>
        <rFont val="Calibri"/>
        <family val="2"/>
        <scheme val="minor"/>
      </rPr>
      <t xml:space="preserve">gedüngt werden.                                                                                                                                                                  In Gehaltsklasse B wird die Empfehlung im Vergleich zu C (Düngung entspricht der Nährstoffabfuhr mit Erntegut) um 50 % erhöht und in Gehaltsklasse A um 100 %. Bei sehr hoch erscheinenden Düngeempfehlungen sollte man diese aufteilen und über eine Bodenuntersuchung die Wirksamkeit nachprüfen. In Gehaltsklasse D wird die Düngeempfehlung um 50 % vermindert und in E wird keine Düngung empfohlen.                                                                           Im Rahmen der Fruchtfolge kann Phosphat </t>
    </r>
    <r>
      <rPr>
        <b/>
        <sz val="14"/>
        <color rgb="FFFF0000"/>
        <rFont val="Calibri"/>
        <family val="2"/>
        <scheme val="minor"/>
      </rPr>
      <t>auf Vorrat gedüngt</t>
    </r>
    <r>
      <rPr>
        <sz val="14"/>
        <rFont val="Calibri"/>
        <family val="2"/>
        <scheme val="minor"/>
      </rPr>
      <t xml:space="preserve"> werden, wobei oberhalb der oben genannten Phosphatgehalte dies </t>
    </r>
    <r>
      <rPr>
        <b/>
        <sz val="14"/>
        <color rgb="FFFF0000"/>
        <rFont val="Calibri"/>
        <family val="2"/>
        <scheme val="minor"/>
      </rPr>
      <t>auf drei Jahre im Voraus begrenzt</t>
    </r>
    <r>
      <rPr>
        <sz val="14"/>
        <rFont val="Calibri"/>
        <family val="2"/>
        <scheme val="minor"/>
      </rPr>
      <t xml:space="preserve"> ist.                                                                                                                                   Der hier über eine Fruchtfolge hinweg ermittelte P-Bedarf sollte innerhalb der Fruchtfolge insbes. zu Kulturen wie Kart., Mais, Z-Rüben oder Gerste auf Vorrat gegeben werden.                                                                                                                       Nur bei geringer P-Versorgung empfiehlt sich eine jährliche Phosphatdüngung. </t>
    </r>
  </si>
  <si>
    <r>
      <t>Die Düngeverordnung schreibt (neben N) lediglich die Ermittlung des Phosphatbedarfes vor. Dies beinhaltet Bodenuntersuchungen von Schlägen ab 1 ha auf verfügbares P, sobald mehr als 30 kg P</t>
    </r>
    <r>
      <rPr>
        <vertAlign val="subscript"/>
        <sz val="12"/>
        <rFont val="Calibri"/>
        <family val="2"/>
        <scheme val="minor"/>
      </rPr>
      <t>2</t>
    </r>
    <r>
      <rPr>
        <sz val="12"/>
        <rFont val="Calibri"/>
        <family val="2"/>
        <scheme val="minor"/>
      </rPr>
      <t>O</t>
    </r>
    <r>
      <rPr>
        <vertAlign val="subscript"/>
        <sz val="12"/>
        <rFont val="Calibri"/>
        <family val="2"/>
        <scheme val="minor"/>
      </rPr>
      <t>5</t>
    </r>
    <r>
      <rPr>
        <sz val="12"/>
        <rFont val="Calibri"/>
        <family val="2"/>
        <scheme val="minor"/>
      </rPr>
      <t xml:space="preserve">/ha und Jahr zugeführt werden. Die Analysen dürfen jeweils nicht älter sein als 6 Jahre.                                                         Gemäß DüV dürfen Schläge mit Gehalten </t>
    </r>
    <r>
      <rPr>
        <b/>
        <sz val="12"/>
        <color rgb="FFFF0000"/>
        <rFont val="Calibri"/>
        <family val="2"/>
        <scheme val="minor"/>
      </rPr>
      <t>über 20 mg CAL- o. 3,6 mg EUF-löslichem P</t>
    </r>
    <r>
      <rPr>
        <b/>
        <vertAlign val="subscript"/>
        <sz val="12"/>
        <color rgb="FFFF0000"/>
        <rFont val="Calibri"/>
        <family val="2"/>
        <scheme val="minor"/>
      </rPr>
      <t>2</t>
    </r>
    <r>
      <rPr>
        <b/>
        <sz val="12"/>
        <color rgb="FFFF0000"/>
        <rFont val="Calibri"/>
        <family val="2"/>
        <scheme val="minor"/>
      </rPr>
      <t>O</t>
    </r>
    <r>
      <rPr>
        <b/>
        <vertAlign val="subscript"/>
        <sz val="12"/>
        <color rgb="FFFF0000"/>
        <rFont val="Calibri"/>
        <family val="2"/>
        <scheme val="minor"/>
      </rPr>
      <t>5</t>
    </r>
    <r>
      <rPr>
        <b/>
        <sz val="12"/>
        <color rgb="FFFF0000"/>
        <rFont val="Calibri"/>
        <family val="2"/>
        <scheme val="minor"/>
      </rPr>
      <t xml:space="preserve">/100 g Boden </t>
    </r>
    <r>
      <rPr>
        <sz val="12"/>
        <rFont val="Calibri"/>
        <family val="2"/>
        <scheme val="minor"/>
      </rPr>
      <t xml:space="preserve">maximal bis zur voraussichtlichen </t>
    </r>
    <r>
      <rPr>
        <b/>
        <sz val="12"/>
        <color rgb="FFFF0000"/>
        <rFont val="Calibri"/>
        <family val="2"/>
        <scheme val="minor"/>
      </rPr>
      <t xml:space="preserve">P-Abfuhr mit dem Erntegut </t>
    </r>
    <r>
      <rPr>
        <sz val="12"/>
        <rFont val="Calibri"/>
        <family val="2"/>
        <scheme val="minor"/>
      </rPr>
      <t xml:space="preserve">gedüngt werden.                                                   In Gehaltsklasse B wird die Empfehlung im Vergleich zu C (Düngung entspricht der Nährstoffabfuhr mit Erntegut) um 50 % erhöht und in Gehaltsklasse A um 100 %. Bei sehr hoch erscheinenden Düngeempfehlungen sollte man diese aufteilen und über eine Bodenuntersuchung die Wirksamkeit nachprüfen. In Gehaltsklasse D wird die Düngeempfehlung um 50 % vermindert und in E wird keine Düngung empfohlen.                                                                                                                                                                                                                      Da sich die Grünlandnutzung i.d.R. von Jahr zu Jahr nicht wesentlich unterscheidet, wird der Nährstoffbedarf hier nur für ein durchschnittliches Jahr geplant.  Phosphat kann jedoch </t>
    </r>
    <r>
      <rPr>
        <b/>
        <sz val="12"/>
        <color rgb="FFFF0000"/>
        <rFont val="Calibri"/>
        <family val="2"/>
        <scheme val="minor"/>
      </rPr>
      <t>auf Vorrat gedüngt</t>
    </r>
    <r>
      <rPr>
        <sz val="12"/>
        <rFont val="Calibri"/>
        <family val="2"/>
        <scheme val="minor"/>
      </rPr>
      <t xml:space="preserve"> werden, wobei oberhalb der oben genannten Phosphatgehalte dies </t>
    </r>
    <r>
      <rPr>
        <b/>
        <sz val="12"/>
        <color rgb="FFFF0000"/>
        <rFont val="Calibri"/>
        <family val="2"/>
        <scheme val="minor"/>
      </rPr>
      <t>auf drei Jahre im Voraus begrenzt</t>
    </r>
    <r>
      <rPr>
        <sz val="12"/>
        <rFont val="Calibri"/>
        <family val="2"/>
        <scheme val="minor"/>
      </rPr>
      <t xml:space="preserve"> ist.                                                                                                                                    Nur bei geringer P-Versorgung empfiehlt sich eine jährliche Phosphatdüngung.                </t>
    </r>
  </si>
  <si>
    <t>Version 2.0                                    7. Januar 2021</t>
  </si>
  <si>
    <t>Spinat (Hack- bzw. Industrieware)</t>
  </si>
  <si>
    <t>Testbetrieb</t>
  </si>
  <si>
    <t>Rapsweizen</t>
  </si>
  <si>
    <t>Maisweizen</t>
  </si>
  <si>
    <t>Silomais, 28-30 % TM</t>
  </si>
  <si>
    <t>Ackerfutter</t>
  </si>
  <si>
    <t>Intensives Grünland</t>
  </si>
  <si>
    <t>4 Schnitt</t>
  </si>
  <si>
    <t>10.05-20.10</t>
  </si>
  <si>
    <t>Rinder 1-2 Jahre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</si>
</sst>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0.00\ &quot;€&quot;_-;\-* #,##0.00\ &quot;€&quot;_-;_-* &quot;-&quot;??\ &quot;€&quot;_-;_-@_-"/>
    <numFmt numFmtId="164" formatCode="_-* #,##0.00\ _€_-;\-* #,##0.00\ _€_-;_-* &quot;-&quot;??\ _€_-;_-@_-"/>
    <numFmt numFmtId="165" formatCode="0.0"/>
    <numFmt numFmtId="166" formatCode="#,##0_ ;\-#,##0\ "/>
    <numFmt numFmtId="167" formatCode="0.000"/>
    <numFmt numFmtId="168" formatCode="0.0000"/>
    <numFmt numFmtId="169" formatCode="dd/mm/yy;@"/>
    <numFmt numFmtId="170" formatCode="_-* #,##0\ _€_-;\-* #,##0\ _€_-;_-* &quot;-&quot;??\ _€_-;_-@_-"/>
    <numFmt numFmtId="171" formatCode="#,##0.0"/>
  </numFmts>
  <fonts count="161" x14ac:knownFonts="1">
    <font>
      <sz val="11"/>
      <color theme="1"/>
      <name val="Calibri"/>
      <family val="2"/>
      <scheme val="minor"/>
    </font>
    <font>
      <b/>
      <sz val="11"/>
      <color theme="1"/>
      <name val="Calibri"/>
      <family val="2"/>
      <scheme val="minor"/>
    </font>
    <font>
      <b/>
      <sz val="14"/>
      <color theme="1"/>
      <name val="Calibri"/>
      <family val="2"/>
      <scheme val="minor"/>
    </font>
    <font>
      <sz val="10"/>
      <color theme="1"/>
      <name val="Calibri"/>
      <family val="2"/>
      <scheme val="minor"/>
    </font>
    <font>
      <sz val="8"/>
      <color theme="1"/>
      <name val="Calibri"/>
      <family val="2"/>
      <scheme val="minor"/>
    </font>
    <font>
      <b/>
      <sz val="11"/>
      <name val="Calibri"/>
      <family val="2"/>
      <scheme val="minor"/>
    </font>
    <font>
      <b/>
      <sz val="12"/>
      <color rgb="FF0070C0"/>
      <name val="Calibri"/>
      <family val="2"/>
      <scheme val="minor"/>
    </font>
    <font>
      <b/>
      <vertAlign val="subscript"/>
      <sz val="11"/>
      <color theme="1"/>
      <name val="Calibri"/>
      <family val="2"/>
      <scheme val="minor"/>
    </font>
    <font>
      <b/>
      <sz val="8"/>
      <color theme="1"/>
      <name val="Calibri"/>
      <family val="2"/>
      <scheme val="minor"/>
    </font>
    <font>
      <sz val="9"/>
      <color theme="1"/>
      <name val="Calibri"/>
      <family val="2"/>
      <scheme val="minor"/>
    </font>
    <font>
      <vertAlign val="subscript"/>
      <sz val="11"/>
      <color theme="1"/>
      <name val="Calibri"/>
      <family val="2"/>
      <scheme val="minor"/>
    </font>
    <font>
      <b/>
      <sz val="12"/>
      <name val="Calibri"/>
      <family val="2"/>
      <scheme val="minor"/>
    </font>
    <font>
      <b/>
      <vertAlign val="subscript"/>
      <sz val="12"/>
      <name val="Calibri"/>
      <family val="2"/>
      <scheme val="minor"/>
    </font>
    <font>
      <b/>
      <sz val="9"/>
      <color theme="1"/>
      <name val="Calibri"/>
      <family val="2"/>
      <scheme val="minor"/>
    </font>
    <font>
      <b/>
      <sz val="10"/>
      <color rgb="FFFF0000"/>
      <name val="Calibri"/>
      <family val="2"/>
      <scheme val="minor"/>
    </font>
    <font>
      <b/>
      <sz val="11"/>
      <color rgb="FFFF0000"/>
      <name val="Calibri"/>
      <family val="2"/>
      <scheme val="minor"/>
    </font>
    <font>
      <sz val="7"/>
      <color theme="1"/>
      <name val="Calibri"/>
      <family val="2"/>
      <scheme val="minor"/>
    </font>
    <font>
      <vertAlign val="subscript"/>
      <sz val="7"/>
      <color theme="1"/>
      <name val="Calibri"/>
      <family val="2"/>
      <scheme val="minor"/>
    </font>
    <font>
      <b/>
      <sz val="12"/>
      <color theme="1"/>
      <name val="Calibri"/>
      <family val="2"/>
      <scheme val="minor"/>
    </font>
    <font>
      <b/>
      <sz val="12"/>
      <color theme="4"/>
      <name val="Calibri"/>
      <family val="2"/>
      <scheme val="minor"/>
    </font>
    <font>
      <b/>
      <sz val="8"/>
      <color rgb="FFFF0000"/>
      <name val="Calibri"/>
      <family val="2"/>
      <scheme val="minor"/>
    </font>
    <font>
      <sz val="11"/>
      <color rgb="FFFF0000"/>
      <name val="Calibri"/>
      <family val="2"/>
      <scheme val="minor"/>
    </font>
    <font>
      <b/>
      <sz val="13"/>
      <color theme="1"/>
      <name val="Calibri"/>
      <family val="2"/>
      <scheme val="minor"/>
    </font>
    <font>
      <sz val="11"/>
      <name val="Calibri"/>
      <family val="2"/>
      <scheme val="minor"/>
    </font>
    <font>
      <b/>
      <sz val="16"/>
      <color theme="1"/>
      <name val="Calibri"/>
      <family val="2"/>
      <scheme val="minor"/>
    </font>
    <font>
      <b/>
      <i/>
      <sz val="11"/>
      <color rgb="FFFF0000"/>
      <name val="Calibri"/>
      <family val="2"/>
      <scheme val="minor"/>
    </font>
    <font>
      <b/>
      <sz val="10"/>
      <color theme="1"/>
      <name val="Calibri"/>
      <family val="2"/>
      <scheme val="minor"/>
    </font>
    <font>
      <sz val="12"/>
      <color theme="1"/>
      <name val="Calibri"/>
      <family val="2"/>
      <scheme val="minor"/>
    </font>
    <font>
      <sz val="11"/>
      <color theme="1" tint="0.34998626667073579"/>
      <name val="Calibri"/>
      <family val="2"/>
      <scheme val="minor"/>
    </font>
    <font>
      <b/>
      <sz val="8"/>
      <name val="Calibri"/>
      <family val="2"/>
      <scheme val="minor"/>
    </font>
    <font>
      <sz val="7"/>
      <name val="Calibri"/>
      <family val="2"/>
      <scheme val="minor"/>
    </font>
    <font>
      <vertAlign val="subscript"/>
      <sz val="7"/>
      <name val="Calibri"/>
      <family val="2"/>
      <scheme val="minor"/>
    </font>
    <font>
      <b/>
      <sz val="12"/>
      <color rgb="FFFF0000"/>
      <name val="Calibri"/>
      <family val="2"/>
      <scheme val="minor"/>
    </font>
    <font>
      <b/>
      <sz val="9"/>
      <color theme="1"/>
      <name val="Arial"/>
      <family val="2"/>
    </font>
    <font>
      <sz val="12"/>
      <color rgb="FFFF0000"/>
      <name val="Calibri"/>
      <family val="2"/>
      <scheme val="minor"/>
    </font>
    <font>
      <sz val="11"/>
      <color theme="1"/>
      <name val="Calibri"/>
      <family val="2"/>
      <scheme val="minor"/>
    </font>
    <font>
      <b/>
      <sz val="12"/>
      <color theme="3"/>
      <name val="Calibri"/>
      <family val="2"/>
      <scheme val="minor"/>
    </font>
    <font>
      <u/>
      <sz val="11"/>
      <color theme="10"/>
      <name val="Calibri"/>
      <family val="2"/>
      <scheme val="minor"/>
    </font>
    <font>
      <b/>
      <vertAlign val="subscript"/>
      <sz val="12"/>
      <color theme="1"/>
      <name val="Calibri"/>
      <family val="2"/>
      <scheme val="minor"/>
    </font>
    <font>
      <sz val="12"/>
      <name val="Calibri"/>
      <family val="2"/>
      <scheme val="minor"/>
    </font>
    <font>
      <sz val="14"/>
      <color theme="1"/>
      <name val="Calibri"/>
      <family val="2"/>
      <scheme val="minor"/>
    </font>
    <font>
      <b/>
      <sz val="12"/>
      <color rgb="FF002060"/>
      <name val="Calibri"/>
      <family val="2"/>
      <scheme val="minor"/>
    </font>
    <font>
      <sz val="12"/>
      <color rgb="FF002060"/>
      <name val="Calibri"/>
      <family val="2"/>
      <scheme val="minor"/>
    </font>
    <font>
      <b/>
      <sz val="11"/>
      <color rgb="FF002060"/>
      <name val="Calibri"/>
      <family val="2"/>
      <scheme val="minor"/>
    </font>
    <font>
      <sz val="11"/>
      <color rgb="FF002060"/>
      <name val="Calibri"/>
      <family val="2"/>
      <scheme val="minor"/>
    </font>
    <font>
      <b/>
      <sz val="14"/>
      <name val="Calibri"/>
      <family val="2"/>
      <scheme val="minor"/>
    </font>
    <font>
      <vertAlign val="subscript"/>
      <sz val="10"/>
      <color theme="1"/>
      <name val="Calibri"/>
      <family val="2"/>
      <scheme val="minor"/>
    </font>
    <font>
      <sz val="14"/>
      <color rgb="FFFF0000"/>
      <name val="Calibri"/>
      <family val="2"/>
      <scheme val="minor"/>
    </font>
    <font>
      <b/>
      <sz val="14"/>
      <color rgb="FFFF0000"/>
      <name val="Calibri"/>
      <family val="2"/>
      <scheme val="minor"/>
    </font>
    <font>
      <b/>
      <sz val="10"/>
      <color rgb="FF0070C0"/>
      <name val="Calibri"/>
      <family val="2"/>
      <scheme val="minor"/>
    </font>
    <font>
      <b/>
      <sz val="11"/>
      <color rgb="FF0070C0"/>
      <name val="Calibri"/>
      <family val="2"/>
      <scheme val="minor"/>
    </font>
    <font>
      <sz val="11"/>
      <color rgb="FF0070C0"/>
      <name val="Calibri"/>
      <family val="2"/>
      <scheme val="minor"/>
    </font>
    <font>
      <b/>
      <sz val="10"/>
      <name val="Calibri"/>
      <family val="2"/>
      <scheme val="minor"/>
    </font>
    <font>
      <sz val="10"/>
      <name val="Calibri"/>
      <family val="2"/>
      <scheme val="minor"/>
    </font>
    <font>
      <b/>
      <i/>
      <sz val="16"/>
      <color theme="3"/>
      <name val="Calibri"/>
      <family val="2"/>
      <scheme val="minor"/>
    </font>
    <font>
      <b/>
      <vertAlign val="subscript"/>
      <sz val="11"/>
      <name val="Calibri"/>
      <family val="2"/>
      <scheme val="minor"/>
    </font>
    <font>
      <sz val="10"/>
      <color theme="0" tint="-0.14999847407452621"/>
      <name val="Calibri"/>
      <family val="2"/>
      <scheme val="minor"/>
    </font>
    <font>
      <sz val="9"/>
      <name val="Calibri"/>
      <family val="2"/>
      <scheme val="minor"/>
    </font>
    <font>
      <sz val="11"/>
      <color theme="0" tint="-0.249977111117893"/>
      <name val="Calibri"/>
      <family val="2"/>
      <scheme val="minor"/>
    </font>
    <font>
      <b/>
      <sz val="11"/>
      <color theme="0" tint="-0.249977111117893"/>
      <name val="Calibri"/>
      <family val="2"/>
      <scheme val="minor"/>
    </font>
    <font>
      <b/>
      <i/>
      <sz val="12"/>
      <color rgb="FFFF0000"/>
      <name val="Calibri"/>
      <family val="2"/>
      <scheme val="minor"/>
    </font>
    <font>
      <sz val="10"/>
      <color theme="0" tint="-0.249977111117893"/>
      <name val="Calibri"/>
      <family val="2"/>
      <scheme val="minor"/>
    </font>
    <font>
      <b/>
      <sz val="20"/>
      <color theme="1"/>
      <name val="Calibri"/>
      <family val="2"/>
      <scheme val="minor"/>
    </font>
    <font>
      <sz val="20"/>
      <color theme="1"/>
      <name val="Calibri"/>
      <family val="2"/>
      <scheme val="minor"/>
    </font>
    <font>
      <vertAlign val="subscript"/>
      <sz val="11"/>
      <name val="Calibri"/>
      <family val="2"/>
      <scheme val="minor"/>
    </font>
    <font>
      <vertAlign val="subscript"/>
      <sz val="9"/>
      <name val="Calibri"/>
      <family val="2"/>
      <scheme val="minor"/>
    </font>
    <font>
      <vertAlign val="subscript"/>
      <sz val="9"/>
      <color theme="1"/>
      <name val="Calibri"/>
      <family val="2"/>
      <scheme val="minor"/>
    </font>
    <font>
      <b/>
      <sz val="9"/>
      <color rgb="FF0070C0"/>
      <name val="Calibri"/>
      <family val="2"/>
      <scheme val="minor"/>
    </font>
    <font>
      <b/>
      <sz val="12"/>
      <color theme="1" tint="0.499984740745262"/>
      <name val="Calibri"/>
      <family val="2"/>
      <scheme val="minor"/>
    </font>
    <font>
      <b/>
      <sz val="11"/>
      <color theme="1" tint="0.499984740745262"/>
      <name val="Calibri"/>
      <family val="2"/>
      <scheme val="minor"/>
    </font>
    <font>
      <b/>
      <sz val="11"/>
      <color theme="3" tint="0.39997558519241921"/>
      <name val="Calibri"/>
      <family val="2"/>
      <scheme val="minor"/>
    </font>
    <font>
      <sz val="11"/>
      <color theme="1" tint="0.499984740745262"/>
      <name val="Calibri"/>
      <family val="2"/>
      <scheme val="minor"/>
    </font>
    <font>
      <vertAlign val="subscript"/>
      <sz val="11"/>
      <color theme="1" tint="0.499984740745262"/>
      <name val="Calibri"/>
      <family val="2"/>
      <scheme val="minor"/>
    </font>
    <font>
      <sz val="12"/>
      <color theme="1" tint="0.499984740745262"/>
      <name val="Calibri"/>
      <family val="2"/>
      <scheme val="minor"/>
    </font>
    <font>
      <b/>
      <sz val="12"/>
      <color theme="6" tint="-0.249977111117893"/>
      <name val="Calibri"/>
      <family val="2"/>
      <scheme val="minor"/>
    </font>
    <font>
      <b/>
      <vertAlign val="subscript"/>
      <sz val="12"/>
      <color theme="6" tint="-0.249977111117893"/>
      <name val="Calibri"/>
      <family val="2"/>
      <scheme val="minor"/>
    </font>
    <font>
      <sz val="11"/>
      <color theme="6" tint="-0.249977111117893"/>
      <name val="Calibri"/>
      <family val="2"/>
      <scheme val="minor"/>
    </font>
    <font>
      <b/>
      <sz val="10"/>
      <color theme="6" tint="-0.249977111117893"/>
      <name val="Calibri"/>
      <family val="2"/>
      <scheme val="minor"/>
    </font>
    <font>
      <b/>
      <sz val="11"/>
      <color theme="4"/>
      <name val="Calibri"/>
      <family val="2"/>
      <scheme val="minor"/>
    </font>
    <font>
      <b/>
      <vertAlign val="subscript"/>
      <sz val="12"/>
      <color rgb="FFFF0000"/>
      <name val="Calibri"/>
      <family val="2"/>
      <scheme val="minor"/>
    </font>
    <font>
      <b/>
      <vertAlign val="subscript"/>
      <sz val="12"/>
      <color rgb="FF0070C0"/>
      <name val="Calibri"/>
      <family val="2"/>
      <scheme val="minor"/>
    </font>
    <font>
      <b/>
      <sz val="9"/>
      <color theme="6" tint="-0.249977111117893"/>
      <name val="Calibri"/>
      <family val="2"/>
      <scheme val="minor"/>
    </font>
    <font>
      <sz val="14"/>
      <name val="Calibri"/>
      <family val="2"/>
      <scheme val="minor"/>
    </font>
    <font>
      <vertAlign val="subscript"/>
      <sz val="14"/>
      <name val="Calibri"/>
      <family val="2"/>
      <scheme val="minor"/>
    </font>
    <font>
      <b/>
      <vertAlign val="subscript"/>
      <sz val="14"/>
      <color rgb="FFFF0000"/>
      <name val="Calibri"/>
      <family val="2"/>
      <scheme val="minor"/>
    </font>
    <font>
      <b/>
      <vertAlign val="subscript"/>
      <sz val="12"/>
      <color rgb="FF002060"/>
      <name val="Calibri"/>
      <family val="2"/>
      <scheme val="minor"/>
    </font>
    <font>
      <sz val="12"/>
      <color rgb="FF0070C0"/>
      <name val="Calibri"/>
      <family val="2"/>
      <scheme val="minor"/>
    </font>
    <font>
      <sz val="12"/>
      <color theme="6" tint="-0.499984740745262"/>
      <name val="Calibri"/>
      <family val="2"/>
      <scheme val="minor"/>
    </font>
    <font>
      <vertAlign val="subscript"/>
      <sz val="12"/>
      <color theme="1"/>
      <name val="Calibri"/>
      <family val="2"/>
      <scheme val="minor"/>
    </font>
    <font>
      <sz val="12"/>
      <color theme="7"/>
      <name val="Calibri"/>
      <family val="2"/>
      <scheme val="minor"/>
    </font>
    <font>
      <sz val="12"/>
      <color rgb="FF7030A0"/>
      <name val="Calibri"/>
      <family val="2"/>
      <scheme val="minor"/>
    </font>
    <font>
      <b/>
      <sz val="10"/>
      <color theme="3"/>
      <name val="Calibri"/>
      <family val="2"/>
      <scheme val="minor"/>
    </font>
    <font>
      <sz val="8"/>
      <name val="Calibri"/>
      <family val="2"/>
      <scheme val="minor"/>
    </font>
    <font>
      <sz val="11"/>
      <color theme="4"/>
      <name val="Calibri"/>
      <family val="2"/>
      <scheme val="minor"/>
    </font>
    <font>
      <sz val="12"/>
      <color theme="0" tint="-0.249977111117893"/>
      <name val="Calibri"/>
      <family val="2"/>
      <scheme val="minor"/>
    </font>
    <font>
      <sz val="12"/>
      <color theme="4"/>
      <name val="Calibri"/>
      <family val="2"/>
      <scheme val="minor"/>
    </font>
    <font>
      <vertAlign val="subscript"/>
      <sz val="12"/>
      <name val="Calibri"/>
      <family val="2"/>
      <scheme val="minor"/>
    </font>
    <font>
      <vertAlign val="subscript"/>
      <sz val="12"/>
      <color theme="0" tint="-0.249977111117893"/>
      <name val="Calibri"/>
      <family val="2"/>
      <scheme val="minor"/>
    </font>
    <font>
      <b/>
      <sz val="11"/>
      <color theme="0"/>
      <name val="Calibri"/>
      <family val="2"/>
      <scheme val="minor"/>
    </font>
    <font>
      <sz val="11"/>
      <color theme="0"/>
      <name val="Calibri"/>
      <family val="2"/>
      <scheme val="minor"/>
    </font>
    <font>
      <b/>
      <sz val="11"/>
      <color theme="0" tint="-0.499984740745262"/>
      <name val="Calibri"/>
      <family val="2"/>
      <scheme val="minor"/>
    </font>
    <font>
      <b/>
      <sz val="12"/>
      <color theme="0"/>
      <name val="Calibri"/>
      <family val="2"/>
      <scheme val="minor"/>
    </font>
    <font>
      <b/>
      <sz val="12"/>
      <color rgb="FF222E9E"/>
      <name val="Calibri"/>
      <family val="2"/>
      <scheme val="minor"/>
    </font>
    <font>
      <b/>
      <sz val="10"/>
      <color rgb="FF222E9E"/>
      <name val="Calibri"/>
      <family val="2"/>
      <scheme val="minor"/>
    </font>
    <font>
      <b/>
      <vertAlign val="subscript"/>
      <sz val="12"/>
      <color rgb="FF222E9E"/>
      <name val="Calibri"/>
      <family val="2"/>
      <scheme val="minor"/>
    </font>
    <font>
      <b/>
      <sz val="11"/>
      <color rgb="FF222E9E"/>
      <name val="Calibri"/>
      <family val="2"/>
      <scheme val="minor"/>
    </font>
    <font>
      <b/>
      <sz val="11"/>
      <color theme="3"/>
      <name val="Calibri"/>
      <family val="2"/>
      <scheme val="minor"/>
    </font>
    <font>
      <b/>
      <sz val="12"/>
      <color theme="7"/>
      <name val="Calibri"/>
      <family val="2"/>
      <scheme val="minor"/>
    </font>
    <font>
      <sz val="11"/>
      <color theme="3"/>
      <name val="Calibri"/>
      <family val="2"/>
      <scheme val="minor"/>
    </font>
    <font>
      <b/>
      <i/>
      <sz val="12"/>
      <color theme="1" tint="0.249977111117893"/>
      <name val="Calibri"/>
      <family val="2"/>
      <scheme val="minor"/>
    </font>
    <font>
      <b/>
      <vertAlign val="subscript"/>
      <sz val="14"/>
      <color theme="1"/>
      <name val="Calibri"/>
      <family val="2"/>
      <scheme val="minor"/>
    </font>
    <font>
      <b/>
      <sz val="12"/>
      <color theme="5" tint="-0.249977111117893"/>
      <name val="Calibri"/>
      <family val="2"/>
      <scheme val="minor"/>
    </font>
    <font>
      <sz val="12"/>
      <color theme="5" tint="-0.249977111117893"/>
      <name val="Calibri"/>
      <family val="2"/>
      <scheme val="minor"/>
    </font>
    <font>
      <b/>
      <vertAlign val="subscript"/>
      <sz val="12"/>
      <color theme="5" tint="-0.249977111117893"/>
      <name val="Calibri"/>
      <family val="2"/>
      <scheme val="minor"/>
    </font>
    <font>
      <sz val="16"/>
      <color theme="1"/>
      <name val="Calibri"/>
      <family val="2"/>
      <scheme val="minor"/>
    </font>
    <font>
      <i/>
      <sz val="14"/>
      <color theme="1"/>
      <name val="Calibri"/>
      <family val="2"/>
      <scheme val="minor"/>
    </font>
    <font>
      <b/>
      <sz val="14"/>
      <color theme="5" tint="-0.249977111117893"/>
      <name val="Calibri"/>
      <family val="2"/>
      <scheme val="minor"/>
    </font>
    <font>
      <b/>
      <sz val="12"/>
      <color theme="6" tint="-0.499984740745262"/>
      <name val="Calibri"/>
      <family val="2"/>
      <scheme val="minor"/>
    </font>
    <font>
      <b/>
      <sz val="12"/>
      <color rgb="FF1C21DA"/>
      <name val="Calibri"/>
      <family val="2"/>
      <scheme val="minor"/>
    </font>
    <font>
      <b/>
      <sz val="14"/>
      <color rgb="FF1C21DA"/>
      <name val="Calibri"/>
      <family val="2"/>
      <scheme val="minor"/>
    </font>
    <font>
      <sz val="11"/>
      <color theme="6" tint="-0.499984740745262"/>
      <name val="Calibri"/>
      <family val="2"/>
      <scheme val="minor"/>
    </font>
    <font>
      <b/>
      <i/>
      <sz val="14"/>
      <color theme="1"/>
      <name val="Calibri"/>
      <family val="2"/>
      <scheme val="minor"/>
    </font>
    <font>
      <i/>
      <sz val="12"/>
      <color theme="1"/>
      <name val="Calibri"/>
      <family val="2"/>
      <scheme val="minor"/>
    </font>
    <font>
      <b/>
      <i/>
      <sz val="12"/>
      <color theme="1"/>
      <name val="Calibri"/>
      <family val="2"/>
      <scheme val="minor"/>
    </font>
    <font>
      <b/>
      <sz val="11"/>
      <color rgb="FF1C21DA"/>
      <name val="Calibri"/>
      <family val="2"/>
      <scheme val="minor"/>
    </font>
    <font>
      <b/>
      <vertAlign val="subscript"/>
      <sz val="14"/>
      <color rgb="FF1C21DA"/>
      <name val="Calibri"/>
      <family val="2"/>
      <scheme val="minor"/>
    </font>
    <font>
      <b/>
      <sz val="14"/>
      <color rgb="FF002060"/>
      <name val="Calibri"/>
      <family val="2"/>
      <scheme val="minor"/>
    </font>
    <font>
      <b/>
      <vertAlign val="subscript"/>
      <sz val="14"/>
      <color rgb="FF002060"/>
      <name val="Calibri"/>
      <family val="2"/>
      <scheme val="minor"/>
    </font>
    <font>
      <b/>
      <i/>
      <sz val="14"/>
      <color theme="6" tint="-0.499984740745262"/>
      <name val="Calibri"/>
      <family val="2"/>
      <scheme val="minor"/>
    </font>
    <font>
      <b/>
      <i/>
      <sz val="11"/>
      <color theme="6" tint="-0.499984740745262"/>
      <name val="Calibri"/>
      <family val="2"/>
      <scheme val="minor"/>
    </font>
    <font>
      <i/>
      <vertAlign val="subscript"/>
      <sz val="12"/>
      <color theme="1"/>
      <name val="Calibri"/>
      <family val="2"/>
      <scheme val="minor"/>
    </font>
    <font>
      <b/>
      <i/>
      <sz val="13"/>
      <color theme="6" tint="-0.499984740745262"/>
      <name val="Calibri"/>
      <family val="2"/>
      <scheme val="minor"/>
    </font>
    <font>
      <b/>
      <sz val="13"/>
      <name val="Calibri"/>
      <family val="2"/>
      <scheme val="minor"/>
    </font>
    <font>
      <sz val="13"/>
      <color theme="1"/>
      <name val="Calibri"/>
      <family val="2"/>
      <scheme val="minor"/>
    </font>
    <font>
      <b/>
      <sz val="11"/>
      <color theme="9" tint="-0.249977111117893"/>
      <name val="Calibri"/>
      <family val="2"/>
      <scheme val="minor"/>
    </font>
    <font>
      <sz val="11"/>
      <color theme="9" tint="-0.249977111117893"/>
      <name val="Calibri"/>
      <family val="2"/>
      <scheme val="minor"/>
    </font>
    <font>
      <b/>
      <sz val="10"/>
      <color rgb="FF1C21DA"/>
      <name val="Calibri"/>
      <family val="2"/>
      <scheme val="minor"/>
    </font>
    <font>
      <b/>
      <sz val="20"/>
      <name val="Calibri"/>
      <family val="2"/>
      <scheme val="minor"/>
    </font>
    <font>
      <b/>
      <i/>
      <sz val="18"/>
      <color rgb="FF7030A0"/>
      <name val="Calibri"/>
      <family val="2"/>
      <scheme val="minor"/>
    </font>
    <font>
      <b/>
      <i/>
      <sz val="12"/>
      <color theme="5" tint="-0.249977111117893"/>
      <name val="Calibri"/>
      <family val="2"/>
      <scheme val="minor"/>
    </font>
    <font>
      <b/>
      <i/>
      <sz val="12"/>
      <name val="Calibri"/>
      <family val="2"/>
      <scheme val="minor"/>
    </font>
    <font>
      <b/>
      <i/>
      <sz val="14"/>
      <color rgb="FFC00000"/>
      <name val="Calibri"/>
      <family val="2"/>
      <scheme val="minor"/>
    </font>
    <font>
      <sz val="11"/>
      <color rgb="FFC00000"/>
      <name val="Calibri"/>
      <family val="2"/>
      <scheme val="minor"/>
    </font>
    <font>
      <b/>
      <sz val="14"/>
      <color rgb="FFC00000"/>
      <name val="Calibri"/>
      <family val="2"/>
      <scheme val="minor"/>
    </font>
    <font>
      <b/>
      <sz val="11"/>
      <color rgb="FFC00000"/>
      <name val="Calibri"/>
      <family val="2"/>
      <scheme val="minor"/>
    </font>
    <font>
      <b/>
      <sz val="11"/>
      <color theme="1" tint="0.14999847407452621"/>
      <name val="Calibri"/>
      <family val="2"/>
      <scheme val="minor"/>
    </font>
    <font>
      <b/>
      <sz val="12"/>
      <color theme="1" tint="0.14999847407452621"/>
      <name val="Calibri"/>
      <family val="2"/>
      <scheme val="minor"/>
    </font>
    <font>
      <sz val="12"/>
      <color theme="1" tint="0.14999847407452621"/>
      <name val="Calibri"/>
      <family val="2"/>
      <scheme val="minor"/>
    </font>
    <font>
      <b/>
      <i/>
      <sz val="12"/>
      <color rgb="FF1C21DA"/>
      <name val="Calibri"/>
      <family val="2"/>
      <scheme val="minor"/>
    </font>
    <font>
      <b/>
      <i/>
      <sz val="13"/>
      <color rgb="FF1C21DA"/>
      <name val="Calibri"/>
      <family val="2"/>
      <scheme val="minor"/>
    </font>
    <font>
      <b/>
      <i/>
      <sz val="13"/>
      <color rgb="FFFF0000"/>
      <name val="Calibri"/>
      <family val="2"/>
      <scheme val="minor"/>
    </font>
    <font>
      <vertAlign val="subscript"/>
      <sz val="12"/>
      <color theme="1" tint="0.14999847407452621"/>
      <name val="Calibri"/>
      <family val="2"/>
      <scheme val="minor"/>
    </font>
    <font>
      <b/>
      <vertAlign val="subscript"/>
      <sz val="12"/>
      <color theme="1" tint="0.14999847407452621"/>
      <name val="Calibri"/>
      <family val="2"/>
      <scheme val="minor"/>
    </font>
    <font>
      <b/>
      <sz val="14"/>
      <color theme="1" tint="0.14999847407452621"/>
      <name val="Calibri"/>
      <family val="2"/>
      <scheme val="minor"/>
    </font>
    <font>
      <b/>
      <sz val="9"/>
      <color theme="1" tint="0.14999847407452621"/>
      <name val="Calibri"/>
      <family val="2"/>
      <scheme val="minor"/>
    </font>
    <font>
      <sz val="9"/>
      <color theme="1" tint="0.14999847407452621"/>
      <name val="Calibri"/>
      <family val="2"/>
      <scheme val="minor"/>
    </font>
    <font>
      <sz val="11"/>
      <color theme="2" tint="-0.749992370372631"/>
      <name val="Calibri"/>
      <family val="2"/>
      <scheme val="minor"/>
    </font>
    <font>
      <b/>
      <i/>
      <sz val="10"/>
      <color theme="2" tint="-0.749992370372631"/>
      <name val="Calibri"/>
      <family val="2"/>
      <scheme val="minor"/>
    </font>
    <font>
      <b/>
      <i/>
      <vertAlign val="subscript"/>
      <sz val="10"/>
      <color theme="2" tint="-0.749992370372631"/>
      <name val="Calibri"/>
      <family val="2"/>
      <scheme val="minor"/>
    </font>
    <font>
      <b/>
      <i/>
      <sz val="14"/>
      <color theme="2" tint="-0.749992370372631"/>
      <name val="Calibri"/>
      <family val="2"/>
      <scheme val="minor"/>
    </font>
    <font>
      <sz val="11"/>
      <color rgb="FF1C21DA"/>
      <name val="Calibri"/>
      <family val="2"/>
      <scheme val="minor"/>
    </font>
  </fonts>
  <fills count="24">
    <fill>
      <patternFill patternType="none"/>
    </fill>
    <fill>
      <patternFill patternType="gray125"/>
    </fill>
    <fill>
      <patternFill patternType="solid">
        <fgColor rgb="FFFFFF99"/>
        <bgColor indexed="64"/>
      </patternFill>
    </fill>
    <fill>
      <patternFill patternType="solid">
        <fgColor theme="8"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rgb="FFCCFF99"/>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rgb="FFFFFFCC"/>
        <bgColor indexed="64"/>
      </patternFill>
    </fill>
    <fill>
      <patternFill patternType="solid">
        <fgColor theme="6"/>
        <bgColor indexed="64"/>
      </patternFill>
    </fill>
    <fill>
      <patternFill patternType="solid">
        <fgColor theme="2" tint="-0.499984740745262"/>
        <bgColor indexed="64"/>
      </patternFill>
    </fill>
    <fill>
      <patternFill patternType="solid">
        <fgColor theme="2"/>
        <bgColor indexed="64"/>
      </patternFill>
    </fill>
    <fill>
      <patternFill patternType="solid">
        <fgColor theme="5" tint="0.79998168889431442"/>
        <bgColor indexed="64"/>
      </patternFill>
    </fill>
    <fill>
      <patternFill patternType="solid">
        <fgColor rgb="FFFF0000"/>
        <bgColor indexed="64"/>
      </patternFill>
    </fill>
    <fill>
      <patternFill patternType="solid">
        <fgColor rgb="FFFFABAB"/>
        <bgColor indexed="64"/>
      </patternFill>
    </fill>
    <fill>
      <patternFill patternType="solid">
        <fgColor theme="6" tint="0.39997558519241921"/>
        <bgColor indexed="64"/>
      </patternFill>
    </fill>
    <fill>
      <patternFill patternType="solid">
        <fgColor rgb="FFFFC000"/>
        <bgColor indexed="64"/>
      </patternFill>
    </fill>
    <fill>
      <patternFill patternType="solid">
        <fgColor rgb="FFF7AFAF"/>
        <bgColor indexed="64"/>
      </patternFill>
    </fill>
    <fill>
      <patternFill patternType="solid">
        <fgColor theme="2" tint="-9.9978637043366805E-2"/>
        <bgColor indexed="64"/>
      </patternFill>
    </fill>
    <fill>
      <patternFill patternType="solid">
        <fgColor theme="2" tint="-0.249977111117893"/>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style="medium">
        <color indexed="64"/>
      </right>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s>
  <cellStyleXfs count="5">
    <xf numFmtId="0" fontId="0" fillId="0" borderId="0"/>
    <xf numFmtId="164" fontId="35" fillId="0" borderId="0" applyFont="0" applyFill="0" applyBorder="0" applyAlignment="0" applyProtection="0"/>
    <xf numFmtId="44" fontId="35" fillId="0" borderId="0" applyFont="0" applyFill="0" applyBorder="0" applyAlignment="0" applyProtection="0"/>
    <xf numFmtId="0" fontId="37" fillId="0" borderId="0" applyNumberFormat="0" applyFill="0" applyBorder="0" applyAlignment="0" applyProtection="0"/>
    <xf numFmtId="9" fontId="35" fillId="0" borderId="0" applyFont="0" applyFill="0" applyBorder="0" applyAlignment="0" applyProtection="0"/>
  </cellStyleXfs>
  <cellXfs count="1759">
    <xf numFmtId="0" fontId="0" fillId="0" borderId="0" xfId="0"/>
    <xf numFmtId="0" fontId="1" fillId="0" borderId="0" xfId="0" applyFont="1"/>
    <xf numFmtId="0" fontId="1" fillId="0" borderId="0" xfId="0" applyFont="1" applyAlignment="1">
      <alignment horizontal="left"/>
    </xf>
    <xf numFmtId="0" fontId="0" fillId="0" borderId="0" xfId="0" applyAlignment="1">
      <alignment horizontal="center"/>
    </xf>
    <xf numFmtId="0" fontId="3" fillId="0" borderId="0" xfId="0" applyFont="1"/>
    <xf numFmtId="0" fontId="4" fillId="0" borderId="0" xfId="0" applyFont="1"/>
    <xf numFmtId="0" fontId="1" fillId="2" borderId="0" xfId="0" applyFont="1" applyFill="1" applyAlignment="1">
      <alignment horizontal="center"/>
    </xf>
    <xf numFmtId="0" fontId="1" fillId="3" borderId="0" xfId="0" applyFont="1" applyFill="1" applyAlignment="1">
      <alignment horizontal="center"/>
    </xf>
    <xf numFmtId="0" fontId="1" fillId="0" borderId="0" xfId="0" applyFont="1" applyAlignment="1">
      <alignment horizontal="center"/>
    </xf>
    <xf numFmtId="0" fontId="0" fillId="0" borderId="0" xfId="0" applyAlignment="1">
      <alignment horizontal="right"/>
    </xf>
    <xf numFmtId="1" fontId="6" fillId="0" borderId="0" xfId="0" applyNumberFormat="1" applyFont="1" applyAlignment="1">
      <alignment horizontal="center" vertical="center"/>
    </xf>
    <xf numFmtId="0" fontId="1" fillId="2" borderId="0" xfId="0" applyFont="1" applyFill="1" applyAlignment="1">
      <alignment horizontal="center" vertical="center"/>
    </xf>
    <xf numFmtId="0" fontId="1" fillId="3" borderId="0" xfId="0" applyFont="1" applyFill="1" applyAlignment="1">
      <alignment horizontal="center" vertical="center"/>
    </xf>
    <xf numFmtId="0" fontId="1" fillId="0" borderId="0" xfId="0" applyFont="1" applyAlignment="1">
      <alignment vertical="center"/>
    </xf>
    <xf numFmtId="0" fontId="4" fillId="0" borderId="0" xfId="0" applyFont="1" applyAlignment="1">
      <alignment vertical="center"/>
    </xf>
    <xf numFmtId="0" fontId="0" fillId="0" borderId="0" xfId="0" applyAlignment="1">
      <alignment vertical="center"/>
    </xf>
    <xf numFmtId="1" fontId="0" fillId="0" borderId="0" xfId="0" applyNumberFormat="1" applyAlignment="1">
      <alignment horizontal="center" vertical="center"/>
    </xf>
    <xf numFmtId="0" fontId="0" fillId="0" borderId="0" xfId="0" applyAlignment="1">
      <alignment horizontal="right" vertical="center"/>
    </xf>
    <xf numFmtId="0" fontId="5" fillId="0" borderId="0" xfId="0" applyFont="1" applyAlignment="1">
      <alignment horizontal="right" vertical="center"/>
    </xf>
    <xf numFmtId="1" fontId="5" fillId="0" borderId="0" xfId="0" applyNumberFormat="1" applyFont="1" applyAlignment="1">
      <alignment horizontal="center" vertical="center"/>
    </xf>
    <xf numFmtId="0" fontId="5" fillId="0" borderId="0" xfId="0" applyFont="1" applyAlignment="1">
      <alignment horizontal="left" vertical="center"/>
    </xf>
    <xf numFmtId="0" fontId="15" fillId="0" borderId="0" xfId="0" applyFont="1" applyAlignment="1">
      <alignment horizontal="center" vertical="center"/>
    </xf>
    <xf numFmtId="0" fontId="16" fillId="0" borderId="0" xfId="0" applyFont="1" applyAlignment="1">
      <alignment horizontal="center" vertical="center" wrapText="1"/>
    </xf>
    <xf numFmtId="0" fontId="4" fillId="0" borderId="0" xfId="0" applyFont="1" applyAlignment="1">
      <alignment horizontal="center"/>
    </xf>
    <xf numFmtId="0" fontId="19" fillId="0" borderId="0" xfId="0" applyFont="1" applyAlignment="1">
      <alignment horizontal="center"/>
    </xf>
    <xf numFmtId="0" fontId="20" fillId="0" borderId="0" xfId="0" applyFont="1" applyAlignment="1">
      <alignment horizontal="right"/>
    </xf>
    <xf numFmtId="0" fontId="1" fillId="0" borderId="6" xfId="0" applyFont="1" applyBorder="1" applyAlignment="1">
      <alignment horizontal="right"/>
    </xf>
    <xf numFmtId="0" fontId="0" fillId="0" borderId="5" xfId="0" applyBorder="1" applyAlignment="1">
      <alignment horizontal="center" vertical="center"/>
    </xf>
    <xf numFmtId="0" fontId="21" fillId="0" borderId="0" xfId="0" applyFont="1" applyAlignment="1">
      <alignment horizontal="center"/>
    </xf>
    <xf numFmtId="0" fontId="0" fillId="0" borderId="0" xfId="0" applyAlignment="1">
      <alignment horizontal="left"/>
    </xf>
    <xf numFmtId="0" fontId="23" fillId="0" borderId="0" xfId="0" applyFont="1" applyAlignment="1">
      <alignment horizontal="center"/>
    </xf>
    <xf numFmtId="0" fontId="1" fillId="0" borderId="11" xfId="0" applyFont="1" applyBorder="1" applyAlignment="1">
      <alignment horizontal="center"/>
    </xf>
    <xf numFmtId="0" fontId="1" fillId="0" borderId="0" xfId="0" applyFont="1" applyAlignment="1">
      <alignment horizontal="right"/>
    </xf>
    <xf numFmtId="0" fontId="4" fillId="0" borderId="0" xfId="0" applyFont="1" applyAlignment="1">
      <alignment horizontal="right"/>
    </xf>
    <xf numFmtId="0" fontId="6" fillId="0" borderId="0" xfId="0" applyFont="1" applyAlignment="1">
      <alignment horizontal="right"/>
    </xf>
    <xf numFmtId="0" fontId="0" fillId="0" borderId="12" xfId="0" applyBorder="1"/>
    <xf numFmtId="0" fontId="1" fillId="0" borderId="7" xfId="0" applyFont="1" applyBorder="1" applyAlignment="1">
      <alignment horizontal="right"/>
    </xf>
    <xf numFmtId="0" fontId="5" fillId="0" borderId="0" xfId="0" applyFont="1" applyAlignment="1">
      <alignment horizontal="right"/>
    </xf>
    <xf numFmtId="0" fontId="6" fillId="0" borderId="0" xfId="0" applyFont="1" applyAlignment="1">
      <alignment horizontal="left"/>
    </xf>
    <xf numFmtId="0" fontId="16" fillId="0" borderId="5" xfId="0" applyFont="1" applyBorder="1" applyAlignment="1">
      <alignment horizontal="center" vertical="center" wrapText="1"/>
    </xf>
    <xf numFmtId="0" fontId="1" fillId="0" borderId="9" xfId="0" applyFont="1" applyBorder="1" applyAlignment="1">
      <alignment horizontal="right"/>
    </xf>
    <xf numFmtId="0" fontId="1" fillId="0" borderId="0" xfId="0" applyFont="1" applyAlignment="1">
      <alignment horizontal="right" vertical="center"/>
    </xf>
    <xf numFmtId="1" fontId="1" fillId="0" borderId="0" xfId="0" applyNumberFormat="1" applyFont="1" applyAlignment="1">
      <alignment horizontal="center" vertical="center"/>
    </xf>
    <xf numFmtId="0" fontId="18" fillId="0" borderId="0" xfId="0" applyFont="1" applyAlignment="1">
      <alignment horizontal="right"/>
    </xf>
    <xf numFmtId="0" fontId="25" fillId="0" borderId="0" xfId="0" applyFont="1" applyAlignment="1">
      <alignment horizontal="center"/>
    </xf>
    <xf numFmtId="0" fontId="18" fillId="0" borderId="14" xfId="0" applyFont="1" applyBorder="1" applyAlignment="1">
      <alignment horizontal="center" vertical="center"/>
    </xf>
    <xf numFmtId="0" fontId="0" fillId="0" borderId="14" xfId="0" applyBorder="1" applyAlignment="1">
      <alignment horizontal="center" vertical="center"/>
    </xf>
    <xf numFmtId="0" fontId="0" fillId="0" borderId="14" xfId="0" applyBorder="1" applyAlignment="1">
      <alignment horizontal="center"/>
    </xf>
    <xf numFmtId="0" fontId="18" fillId="0" borderId="1" xfId="0" applyFont="1" applyBorder="1" applyAlignment="1">
      <alignment horizontal="center"/>
    </xf>
    <xf numFmtId="1" fontId="18" fillId="0" borderId="1" xfId="0" applyNumberFormat="1" applyFont="1" applyBorder="1" applyAlignment="1">
      <alignment horizontal="center"/>
    </xf>
    <xf numFmtId="1" fontId="0" fillId="0" borderId="14" xfId="0" applyNumberFormat="1" applyBorder="1" applyAlignment="1">
      <alignment horizontal="center" vertical="center"/>
    </xf>
    <xf numFmtId="0" fontId="8" fillId="0" borderId="0" xfId="0" applyFont="1" applyAlignment="1">
      <alignment horizontal="center"/>
    </xf>
    <xf numFmtId="0" fontId="0" fillId="0" borderId="6" xfId="0" applyBorder="1" applyAlignment="1">
      <alignment horizontal="right"/>
    </xf>
    <xf numFmtId="0" fontId="24" fillId="0" borderId="0" xfId="0" applyFont="1" applyAlignment="1">
      <alignment vertical="center"/>
    </xf>
    <xf numFmtId="0" fontId="6" fillId="0" borderId="0" xfId="0" applyFont="1" applyAlignment="1">
      <alignment horizontal="center"/>
    </xf>
    <xf numFmtId="1" fontId="1" fillId="0" borderId="4" xfId="0" applyNumberFormat="1" applyFont="1" applyBorder="1" applyAlignment="1">
      <alignment horizontal="center" vertical="center"/>
    </xf>
    <xf numFmtId="0" fontId="28" fillId="0" borderId="14" xfId="0" applyFont="1" applyBorder="1" applyAlignment="1">
      <alignment horizontal="center" vertical="center"/>
    </xf>
    <xf numFmtId="0" fontId="28" fillId="0" borderId="0" xfId="0" applyFont="1"/>
    <xf numFmtId="0" fontId="0" fillId="0" borderId="12" xfId="0" applyBorder="1" applyAlignment="1">
      <alignment horizontal="right"/>
    </xf>
    <xf numFmtId="0" fontId="1" fillId="0" borderId="17" xfId="0" applyFont="1" applyBorder="1" applyAlignment="1">
      <alignment horizontal="right" vertical="center"/>
    </xf>
    <xf numFmtId="0" fontId="18" fillId="0" borderId="0" xfId="0" applyFont="1" applyAlignment="1">
      <alignment horizontal="center" vertical="center"/>
    </xf>
    <xf numFmtId="0" fontId="6" fillId="0" borderId="20" xfId="0" applyFont="1" applyBorder="1" applyAlignment="1">
      <alignment horizontal="right" vertical="center"/>
    </xf>
    <xf numFmtId="1" fontId="6" fillId="0" borderId="21" xfId="0" applyNumberFormat="1" applyFont="1" applyBorder="1" applyAlignment="1">
      <alignment horizontal="center" vertical="center"/>
    </xf>
    <xf numFmtId="0" fontId="1" fillId="0" borderId="17" xfId="0" applyFont="1" applyBorder="1" applyAlignment="1">
      <alignment horizontal="right"/>
    </xf>
    <xf numFmtId="0" fontId="9" fillId="0" borderId="0" xfId="0" applyFont="1"/>
    <xf numFmtId="0" fontId="0" fillId="4" borderId="14" xfId="0" applyFill="1" applyBorder="1" applyAlignment="1">
      <alignment horizontal="center" vertical="center"/>
    </xf>
    <xf numFmtId="0" fontId="1" fillId="0" borderId="2" xfId="0" applyFont="1" applyBorder="1" applyAlignment="1">
      <alignment horizontal="center" vertical="center" wrapText="1"/>
    </xf>
    <xf numFmtId="0" fontId="1" fillId="0" borderId="7" xfId="0" applyFont="1" applyBorder="1" applyAlignment="1">
      <alignment horizontal="right" vertical="center"/>
    </xf>
    <xf numFmtId="0" fontId="1" fillId="0" borderId="11" xfId="0" applyFont="1" applyBorder="1" applyAlignment="1">
      <alignment horizontal="center" vertical="center"/>
    </xf>
    <xf numFmtId="0" fontId="0" fillId="0" borderId="8" xfId="0" applyBorder="1" applyAlignment="1">
      <alignment vertical="center"/>
    </xf>
    <xf numFmtId="0" fontId="1" fillId="0" borderId="6" xfId="0" applyFont="1" applyBorder="1" applyAlignment="1">
      <alignment horizontal="right" vertical="center"/>
    </xf>
    <xf numFmtId="0" fontId="0" fillId="0" borderId="5" xfId="0" applyBorder="1" applyAlignment="1">
      <alignment vertical="center"/>
    </xf>
    <xf numFmtId="0" fontId="28" fillId="0" borderId="5" xfId="0" applyFont="1" applyBorder="1" applyAlignment="1">
      <alignment vertical="center"/>
    </xf>
    <xf numFmtId="0" fontId="0" fillId="0" borderId="6" xfId="0" applyBorder="1" applyAlignment="1">
      <alignment horizontal="right" vertical="center"/>
    </xf>
    <xf numFmtId="0" fontId="3" fillId="0" borderId="5" xfId="0" applyFont="1" applyBorder="1" applyAlignment="1">
      <alignment vertical="center"/>
    </xf>
    <xf numFmtId="0" fontId="18" fillId="0" borderId="6" xfId="0" applyFont="1" applyBorder="1" applyAlignment="1">
      <alignment horizontal="center" vertical="center"/>
    </xf>
    <xf numFmtId="49" fontId="29" fillId="0" borderId="0" xfId="0" applyNumberFormat="1" applyFont="1" applyAlignment="1">
      <alignment horizontal="center" vertical="center" wrapText="1"/>
    </xf>
    <xf numFmtId="0" fontId="8" fillId="0" borderId="5" xfId="0" applyFont="1" applyBorder="1" applyAlignment="1">
      <alignment horizontal="center" vertical="center" wrapText="1"/>
    </xf>
    <xf numFmtId="0" fontId="11" fillId="0" borderId="6" xfId="0" applyFont="1" applyBorder="1" applyAlignment="1">
      <alignment horizontal="center" vertical="center"/>
    </xf>
    <xf numFmtId="0" fontId="15" fillId="0" borderId="10" xfId="0" applyFont="1" applyBorder="1" applyAlignment="1">
      <alignment horizontal="center" vertical="center"/>
    </xf>
    <xf numFmtId="0" fontId="0" fillId="0" borderId="0" xfId="0" applyAlignment="1">
      <alignment horizontal="center" vertical="center"/>
    </xf>
    <xf numFmtId="0" fontId="4" fillId="0" borderId="0" xfId="0" applyFont="1" applyAlignment="1">
      <alignment horizontal="right" vertical="center"/>
    </xf>
    <xf numFmtId="0" fontId="4" fillId="0" borderId="5" xfId="0" applyFont="1" applyBorder="1" applyAlignment="1">
      <alignment vertical="center"/>
    </xf>
    <xf numFmtId="1" fontId="18" fillId="0" borderId="0" xfId="0" applyNumberFormat="1" applyFont="1" applyAlignment="1">
      <alignment horizontal="center" vertical="center"/>
    </xf>
    <xf numFmtId="0" fontId="23" fillId="0" borderId="5" xfId="0" applyFont="1" applyBorder="1" applyAlignment="1">
      <alignment horizontal="left" vertical="center"/>
    </xf>
    <xf numFmtId="0" fontId="1" fillId="0" borderId="12" xfId="0" applyFont="1" applyBorder="1" applyAlignment="1">
      <alignment horizontal="right" vertical="center"/>
    </xf>
    <xf numFmtId="1" fontId="1" fillId="0" borderId="12" xfId="0" applyNumberFormat="1" applyFont="1" applyBorder="1" applyAlignment="1">
      <alignment horizontal="center" vertical="center"/>
    </xf>
    <xf numFmtId="0" fontId="23" fillId="0" borderId="10" xfId="0" applyFont="1" applyBorder="1" applyAlignment="1">
      <alignment horizontal="left" vertical="center"/>
    </xf>
    <xf numFmtId="49" fontId="1" fillId="0" borderId="0" xfId="0" applyNumberFormat="1" applyFont="1" applyAlignment="1">
      <alignment horizontal="left" vertical="center"/>
    </xf>
    <xf numFmtId="49" fontId="1" fillId="0" borderId="0" xfId="0" applyNumberFormat="1" applyFont="1" applyAlignment="1">
      <alignment horizontal="center" vertical="center"/>
    </xf>
    <xf numFmtId="49" fontId="0" fillId="0" borderId="0" xfId="0" applyNumberFormat="1" applyAlignment="1">
      <alignment horizontal="left" vertical="center"/>
    </xf>
    <xf numFmtId="49" fontId="2" fillId="0" borderId="0" xfId="0" applyNumberFormat="1" applyFont="1" applyAlignment="1">
      <alignment horizontal="right" vertical="center"/>
    </xf>
    <xf numFmtId="0" fontId="15" fillId="0" borderId="5" xfId="0" applyFont="1" applyBorder="1" applyAlignment="1">
      <alignment vertical="center"/>
    </xf>
    <xf numFmtId="49" fontId="1" fillId="0" borderId="0" xfId="0" applyNumberFormat="1" applyFont="1" applyAlignment="1">
      <alignment horizontal="center"/>
    </xf>
    <xf numFmtId="49" fontId="0" fillId="0" borderId="0" xfId="0" applyNumberFormat="1" applyAlignment="1">
      <alignment horizontal="center"/>
    </xf>
    <xf numFmtId="49" fontId="0" fillId="0" borderId="0" xfId="0" applyNumberFormat="1"/>
    <xf numFmtId="49" fontId="1" fillId="0" borderId="0" xfId="0" applyNumberFormat="1" applyFont="1" applyAlignment="1">
      <alignment horizontal="right"/>
    </xf>
    <xf numFmtId="49" fontId="0" fillId="0" borderId="0" xfId="0" applyNumberFormat="1" applyAlignment="1">
      <alignment horizontal="left"/>
    </xf>
    <xf numFmtId="1" fontId="1" fillId="0" borderId="3" xfId="0" applyNumberFormat="1" applyFont="1" applyBorder="1" applyAlignment="1">
      <alignment horizontal="center" vertical="center"/>
    </xf>
    <xf numFmtId="0" fontId="21" fillId="0" borderId="0" xfId="0" applyFont="1" applyAlignment="1">
      <alignment horizontal="center" vertical="center"/>
    </xf>
    <xf numFmtId="0" fontId="30" fillId="0" borderId="5" xfId="0" applyFont="1" applyBorder="1" applyAlignment="1">
      <alignment horizontal="center" vertical="center" wrapText="1"/>
    </xf>
    <xf numFmtId="1" fontId="18" fillId="0" borderId="14" xfId="0" applyNumberFormat="1" applyFont="1" applyBorder="1" applyAlignment="1">
      <alignment horizontal="center" vertical="center"/>
    </xf>
    <xf numFmtId="1" fontId="0" fillId="0" borderId="13" xfId="0" applyNumberFormat="1" applyBorder="1" applyAlignment="1">
      <alignment horizontal="center"/>
    </xf>
    <xf numFmtId="0" fontId="28" fillId="0" borderId="14" xfId="0" applyFont="1" applyBorder="1" applyAlignment="1">
      <alignment horizontal="center"/>
    </xf>
    <xf numFmtId="1" fontId="11" fillId="0" borderId="14" xfId="0" applyNumberFormat="1" applyFont="1" applyBorder="1" applyAlignment="1">
      <alignment horizontal="center"/>
    </xf>
    <xf numFmtId="0" fontId="15" fillId="0" borderId="25" xfId="0" applyFont="1" applyBorder="1" applyAlignment="1">
      <alignment horizontal="center" vertical="center"/>
    </xf>
    <xf numFmtId="0" fontId="33" fillId="0" borderId="0" xfId="0" applyFont="1" applyAlignment="1">
      <alignment vertical="center" wrapText="1"/>
    </xf>
    <xf numFmtId="0" fontId="1" fillId="2" borderId="0" xfId="0" applyFont="1" applyFill="1"/>
    <xf numFmtId="0" fontId="1" fillId="3" borderId="0" xfId="0" applyFont="1" applyFill="1"/>
    <xf numFmtId="0" fontId="1" fillId="2" borderId="0" xfId="0" applyFont="1" applyFill="1" applyAlignment="1">
      <alignment horizontal="left"/>
    </xf>
    <xf numFmtId="0" fontId="1" fillId="3" borderId="0" xfId="0" applyFont="1" applyFill="1" applyAlignment="1">
      <alignment horizontal="left"/>
    </xf>
    <xf numFmtId="0" fontId="0" fillId="0" borderId="11" xfId="0" applyBorder="1" applyAlignment="1">
      <alignment horizontal="center" vertical="center"/>
    </xf>
    <xf numFmtId="0" fontId="1" fillId="0" borderId="0" xfId="0" applyFont="1" applyAlignment="1">
      <alignment horizontal="center" vertical="center"/>
    </xf>
    <xf numFmtId="1" fontId="0" fillId="0" borderId="12" xfId="0" applyNumberFormat="1" applyBorder="1" applyAlignment="1">
      <alignment horizontal="center" vertical="center"/>
    </xf>
    <xf numFmtId="0" fontId="1" fillId="0" borderId="0" xfId="0" applyFont="1" applyAlignment="1">
      <alignment horizontal="center" vertical="center" wrapText="1"/>
    </xf>
    <xf numFmtId="1" fontId="0" fillId="0" borderId="10" xfId="0" applyNumberFormat="1" applyBorder="1" applyAlignment="1">
      <alignment horizontal="center" vertical="center"/>
    </xf>
    <xf numFmtId="0" fontId="2" fillId="0" borderId="0" xfId="0" applyFont="1" applyAlignment="1">
      <alignment horizontal="right" vertical="center"/>
    </xf>
    <xf numFmtId="0" fontId="18" fillId="0" borderId="0" xfId="0" applyFont="1" applyAlignment="1">
      <alignment horizontal="right" vertical="center" wrapText="1"/>
    </xf>
    <xf numFmtId="0" fontId="1" fillId="0" borderId="0" xfId="0" applyFont="1" applyAlignment="1">
      <alignment horizontal="left" vertical="center"/>
    </xf>
    <xf numFmtId="0" fontId="0" fillId="0" borderId="8" xfId="0" applyBorder="1" applyAlignment="1">
      <alignment horizontal="center"/>
    </xf>
    <xf numFmtId="0" fontId="18" fillId="0" borderId="0" xfId="0" applyFont="1" applyAlignment="1">
      <alignment horizontal="right" vertical="center"/>
    </xf>
    <xf numFmtId="0" fontId="18" fillId="0" borderId="0" xfId="0" applyFont="1" applyAlignment="1">
      <alignment horizontal="left" vertical="center"/>
    </xf>
    <xf numFmtId="0" fontId="3" fillId="0" borderId="0" xfId="0" applyFont="1" applyAlignment="1">
      <alignment horizontal="center" vertical="center" wrapText="1"/>
    </xf>
    <xf numFmtId="0" fontId="27" fillId="0" borderId="0" xfId="0" applyFont="1" applyAlignment="1">
      <alignment horizontal="center" vertical="center" wrapText="1"/>
    </xf>
    <xf numFmtId="0" fontId="27" fillId="0" borderId="0" xfId="0" applyFont="1" applyAlignment="1">
      <alignment horizontal="center" vertical="center"/>
    </xf>
    <xf numFmtId="1" fontId="21" fillId="0" borderId="0" xfId="0" applyNumberFormat="1" applyFont="1" applyAlignment="1">
      <alignment horizontal="center" vertical="center"/>
    </xf>
    <xf numFmtId="0" fontId="3" fillId="0" borderId="0" xfId="0" applyFont="1" applyAlignment="1">
      <alignment horizontal="center" vertical="center"/>
    </xf>
    <xf numFmtId="0" fontId="1" fillId="0" borderId="6" xfId="0" applyFont="1" applyBorder="1" applyAlignment="1">
      <alignment horizontal="center" vertical="center"/>
    </xf>
    <xf numFmtId="0" fontId="0" fillId="0" borderId="6" xfId="0" applyBorder="1" applyAlignment="1">
      <alignment horizontal="center" vertical="center"/>
    </xf>
    <xf numFmtId="0" fontId="34" fillId="0" borderId="0" xfId="0" applyFont="1" applyAlignment="1">
      <alignment horizontal="center" vertical="center" wrapText="1"/>
    </xf>
    <xf numFmtId="2" fontId="21" fillId="0" borderId="0" xfId="0" applyNumberFormat="1" applyFont="1" applyAlignment="1">
      <alignment horizontal="center" vertical="center"/>
    </xf>
    <xf numFmtId="0" fontId="11" fillId="0" borderId="6" xfId="0" applyFont="1" applyBorder="1" applyAlignment="1">
      <alignment horizontal="right" vertical="center"/>
    </xf>
    <xf numFmtId="1" fontId="6" fillId="0" borderId="13" xfId="0" applyNumberFormat="1" applyFont="1" applyBorder="1" applyAlignment="1">
      <alignment horizontal="center" vertical="center"/>
    </xf>
    <xf numFmtId="44" fontId="0" fillId="0" borderId="13" xfId="2" applyFont="1" applyBorder="1" applyAlignment="1">
      <alignment horizontal="center" vertical="center"/>
    </xf>
    <xf numFmtId="44" fontId="6" fillId="0" borderId="14" xfId="2" applyFont="1" applyBorder="1" applyAlignment="1">
      <alignment horizontal="left" vertical="center"/>
    </xf>
    <xf numFmtId="44" fontId="0" fillId="0" borderId="14" xfId="2" applyFont="1" applyBorder="1" applyAlignment="1">
      <alignment horizontal="left" vertical="center"/>
    </xf>
    <xf numFmtId="44" fontId="1" fillId="0" borderId="25" xfId="2" applyFont="1" applyBorder="1" applyAlignment="1">
      <alignment horizontal="left" vertical="center"/>
    </xf>
    <xf numFmtId="44" fontId="1" fillId="0" borderId="0" xfId="2" applyFont="1" applyBorder="1" applyAlignment="1">
      <alignment horizontal="left" vertical="center"/>
    </xf>
    <xf numFmtId="0" fontId="1" fillId="0" borderId="14" xfId="0" applyFont="1" applyBorder="1" applyAlignment="1">
      <alignment vertical="center"/>
    </xf>
    <xf numFmtId="44" fontId="1" fillId="0" borderId="14" xfId="2" applyFont="1" applyBorder="1" applyAlignment="1">
      <alignment vertical="center"/>
    </xf>
    <xf numFmtId="44" fontId="36" fillId="0" borderId="14" xfId="2" applyFont="1" applyBorder="1" applyAlignment="1">
      <alignment horizontal="left" vertical="center"/>
    </xf>
    <xf numFmtId="0" fontId="6" fillId="0" borderId="0" xfId="0" applyFont="1" applyAlignment="1">
      <alignment horizontal="right" vertical="center"/>
    </xf>
    <xf numFmtId="0" fontId="18" fillId="0" borderId="13" xfId="0" applyFont="1" applyBorder="1" applyAlignment="1">
      <alignment horizontal="right" vertical="center"/>
    </xf>
    <xf numFmtId="0" fontId="6" fillId="0" borderId="14" xfId="0" applyFont="1" applyBorder="1" applyAlignment="1">
      <alignment horizontal="right" vertical="center"/>
    </xf>
    <xf numFmtId="0" fontId="1" fillId="0" borderId="14" xfId="0" applyFont="1" applyBorder="1" applyAlignment="1">
      <alignment horizontal="right" vertical="center"/>
    </xf>
    <xf numFmtId="0" fontId="18" fillId="0" borderId="25" xfId="0" applyFont="1" applyBorder="1" applyAlignment="1">
      <alignment horizontal="center" vertical="center"/>
    </xf>
    <xf numFmtId="0" fontId="1" fillId="0" borderId="0" xfId="0" applyFont="1" applyAlignment="1">
      <alignment horizontal="right" vertical="center" wrapText="1"/>
    </xf>
    <xf numFmtId="0" fontId="2" fillId="0" borderId="0" xfId="0" applyFont="1" applyAlignment="1">
      <alignment horizontal="left" vertical="center"/>
    </xf>
    <xf numFmtId="0" fontId="0" fillId="0" borderId="0" xfId="0" applyAlignment="1">
      <alignment horizontal="left" vertical="center"/>
    </xf>
    <xf numFmtId="0" fontId="27" fillId="0" borderId="0" xfId="0" applyFont="1" applyAlignment="1">
      <alignment horizontal="left" vertical="center"/>
    </xf>
    <xf numFmtId="0" fontId="1" fillId="0" borderId="5" xfId="0" applyFont="1" applyBorder="1" applyAlignment="1">
      <alignment horizontal="center" vertical="center"/>
    </xf>
    <xf numFmtId="1" fontId="2" fillId="0" borderId="0" xfId="0" applyNumberFormat="1" applyFont="1" applyAlignment="1">
      <alignment horizontal="center" vertical="center"/>
    </xf>
    <xf numFmtId="0" fontId="21" fillId="0" borderId="0" xfId="0" applyFont="1"/>
    <xf numFmtId="0" fontId="18" fillId="0" borderId="14" xfId="0" applyFont="1" applyBorder="1" applyAlignment="1">
      <alignment horizontal="center" vertical="center" wrapText="1"/>
    </xf>
    <xf numFmtId="0" fontId="27" fillId="0" borderId="1" xfId="0" applyFont="1" applyBorder="1"/>
    <xf numFmtId="0" fontId="27" fillId="0" borderId="2" xfId="0" applyFont="1" applyBorder="1" applyAlignment="1">
      <alignment horizontal="center"/>
    </xf>
    <xf numFmtId="0" fontId="27" fillId="0" borderId="1" xfId="0" applyFont="1" applyBorder="1" applyAlignment="1">
      <alignment horizontal="center"/>
    </xf>
    <xf numFmtId="165" fontId="27" fillId="0" borderId="1" xfId="0" applyNumberFormat="1" applyFont="1" applyBorder="1" applyAlignment="1">
      <alignment horizontal="center" vertical="center"/>
    </xf>
    <xf numFmtId="0" fontId="39" fillId="0" borderId="0" xfId="0" applyFont="1" applyAlignment="1">
      <alignment vertical="center" wrapText="1"/>
    </xf>
    <xf numFmtId="0" fontId="39" fillId="0" borderId="13" xfId="0" applyFont="1" applyBorder="1" applyAlignment="1">
      <alignment horizontal="center" vertical="center" wrapText="1"/>
    </xf>
    <xf numFmtId="0" fontId="0" fillId="0" borderId="1" xfId="0" applyBorder="1" applyAlignment="1">
      <alignment horizontal="center" vertical="center"/>
    </xf>
    <xf numFmtId="0" fontId="39" fillId="0" borderId="1" xfId="0" applyFont="1" applyBorder="1" applyAlignment="1">
      <alignment vertical="center" wrapText="1"/>
    </xf>
    <xf numFmtId="0" fontId="34" fillId="0" borderId="1" xfId="0" applyFont="1" applyBorder="1" applyAlignment="1">
      <alignment horizontal="center" vertical="center"/>
    </xf>
    <xf numFmtId="165" fontId="27" fillId="0" borderId="1" xfId="0" applyNumberFormat="1" applyFont="1" applyBorder="1" applyAlignment="1">
      <alignment horizontal="center" vertical="center" wrapText="1"/>
    </xf>
    <xf numFmtId="0" fontId="27" fillId="0" borderId="1" xfId="0" applyFont="1" applyBorder="1" applyAlignment="1">
      <alignment vertical="center" wrapText="1"/>
    </xf>
    <xf numFmtId="0" fontId="18" fillId="0" borderId="1" xfId="0" applyFont="1" applyBorder="1" applyAlignment="1">
      <alignment vertical="center" wrapText="1"/>
    </xf>
    <xf numFmtId="0" fontId="27" fillId="0" borderId="0" xfId="0" applyFont="1" applyAlignment="1">
      <alignment vertical="center"/>
    </xf>
    <xf numFmtId="0" fontId="27" fillId="0" borderId="14" xfId="0" applyFont="1" applyBorder="1" applyAlignment="1">
      <alignment horizontal="center" vertical="center" wrapText="1"/>
    </xf>
    <xf numFmtId="0" fontId="1" fillId="0" borderId="2" xfId="0" applyFont="1" applyBorder="1" applyAlignment="1">
      <alignment horizontal="center" wrapText="1"/>
    </xf>
    <xf numFmtId="2" fontId="2" fillId="0" borderId="5" xfId="0" applyNumberFormat="1" applyFont="1" applyBorder="1" applyAlignment="1">
      <alignment horizontal="center" vertical="center"/>
    </xf>
    <xf numFmtId="2" fontId="2" fillId="0" borderId="6" xfId="0" applyNumberFormat="1" applyFont="1" applyBorder="1" applyAlignment="1">
      <alignment horizontal="center" vertical="center"/>
    </xf>
    <xf numFmtId="2" fontId="0" fillId="0" borderId="5" xfId="0" applyNumberFormat="1" applyBorder="1" applyAlignment="1">
      <alignment vertical="center"/>
    </xf>
    <xf numFmtId="2" fontId="0" fillId="0" borderId="6" xfId="0" applyNumberFormat="1" applyBorder="1" applyAlignment="1">
      <alignment vertical="center"/>
    </xf>
    <xf numFmtId="2" fontId="1" fillId="0" borderId="5" xfId="0" applyNumberFormat="1" applyFont="1" applyBorder="1" applyAlignment="1">
      <alignment horizontal="center" vertical="center"/>
    </xf>
    <xf numFmtId="2" fontId="1" fillId="0" borderId="6" xfId="0" applyNumberFormat="1" applyFont="1" applyBorder="1" applyAlignment="1">
      <alignment horizontal="center" vertical="center"/>
    </xf>
    <xf numFmtId="0" fontId="0" fillId="0" borderId="6" xfId="0" applyBorder="1" applyAlignment="1">
      <alignment vertical="center"/>
    </xf>
    <xf numFmtId="0" fontId="18" fillId="0" borderId="11" xfId="0" applyFont="1" applyBorder="1" applyAlignment="1">
      <alignment horizontal="left" vertical="center"/>
    </xf>
    <xf numFmtId="0" fontId="0" fillId="0" borderId="11" xfId="0" applyBorder="1" applyAlignment="1">
      <alignment vertical="center"/>
    </xf>
    <xf numFmtId="2" fontId="0" fillId="0" borderId="0" xfId="0" applyNumberFormat="1" applyAlignment="1">
      <alignment vertical="center"/>
    </xf>
    <xf numFmtId="0" fontId="34" fillId="0" borderId="1" xfId="0" applyFont="1" applyBorder="1" applyAlignment="1">
      <alignment horizontal="center" vertical="center" wrapText="1"/>
    </xf>
    <xf numFmtId="1" fontId="1" fillId="0" borderId="0" xfId="0" applyNumberFormat="1" applyFont="1" applyAlignment="1">
      <alignment horizontal="center"/>
    </xf>
    <xf numFmtId="0" fontId="2" fillId="0" borderId="0" xfId="0" applyFont="1" applyAlignment="1">
      <alignment horizontal="center" vertical="center" wrapText="1"/>
    </xf>
    <xf numFmtId="0" fontId="1" fillId="0" borderId="12" xfId="0" applyFont="1" applyBorder="1" applyAlignment="1">
      <alignment horizontal="center" vertical="center"/>
    </xf>
    <xf numFmtId="1" fontId="1" fillId="0" borderId="0" xfId="0" applyNumberFormat="1" applyFont="1" applyAlignment="1">
      <alignment horizontal="right" vertical="center"/>
    </xf>
    <xf numFmtId="0" fontId="4" fillId="0" borderId="9" xfId="0" applyFont="1" applyBorder="1" applyAlignment="1">
      <alignment horizontal="right" vertical="center"/>
    </xf>
    <xf numFmtId="1" fontId="18" fillId="0" borderId="13" xfId="0" applyNumberFormat="1" applyFont="1" applyBorder="1" applyAlignment="1">
      <alignment horizontal="center" vertical="center"/>
    </xf>
    <xf numFmtId="2" fontId="4" fillId="0" borderId="14" xfId="0" applyNumberFormat="1" applyFont="1" applyBorder="1" applyAlignment="1">
      <alignment horizontal="center" vertical="center"/>
    </xf>
    <xf numFmtId="1" fontId="1" fillId="0" borderId="14" xfId="0" applyNumberFormat="1" applyFont="1" applyBorder="1" applyAlignment="1">
      <alignment horizontal="center" vertical="center"/>
    </xf>
    <xf numFmtId="1" fontId="1" fillId="0" borderId="25" xfId="0" applyNumberFormat="1" applyFont="1" applyBorder="1" applyAlignment="1">
      <alignment horizontal="center" vertical="center"/>
    </xf>
    <xf numFmtId="0" fontId="15" fillId="0" borderId="1" xfId="0" applyFont="1" applyBorder="1" applyAlignment="1">
      <alignment horizontal="center" vertical="center"/>
    </xf>
    <xf numFmtId="0" fontId="37" fillId="0" borderId="0" xfId="3" applyAlignment="1">
      <alignment vertical="center"/>
    </xf>
    <xf numFmtId="0" fontId="3" fillId="0" borderId="5" xfId="0" applyFont="1" applyBorder="1" applyAlignment="1">
      <alignment horizontal="left" vertical="center" wrapText="1"/>
    </xf>
    <xf numFmtId="0" fontId="0" fillId="0" borderId="14" xfId="0" applyBorder="1" applyAlignment="1">
      <alignment horizontal="left" vertical="center" wrapText="1"/>
    </xf>
    <xf numFmtId="0" fontId="0" fillId="0" borderId="8" xfId="0" applyBorder="1"/>
    <xf numFmtId="0" fontId="0" fillId="0" borderId="5" xfId="0" applyBorder="1"/>
    <xf numFmtId="0" fontId="28" fillId="0" borderId="5" xfId="0" applyFont="1" applyBorder="1"/>
    <xf numFmtId="0" fontId="5" fillId="0" borderId="5" xfId="0" applyFont="1" applyBorder="1" applyAlignment="1">
      <alignment horizontal="left"/>
    </xf>
    <xf numFmtId="0" fontId="14" fillId="0" borderId="6" xfId="0" applyFont="1" applyBorder="1" applyAlignment="1">
      <alignment horizontal="right"/>
    </xf>
    <xf numFmtId="0" fontId="6" fillId="0" borderId="5" xfId="0" applyFont="1" applyBorder="1" applyAlignment="1">
      <alignment horizontal="left"/>
    </xf>
    <xf numFmtId="0" fontId="1" fillId="0" borderId="12" xfId="0" applyFont="1" applyBorder="1" applyAlignment="1">
      <alignment horizontal="center"/>
    </xf>
    <xf numFmtId="0" fontId="0" fillId="0" borderId="10" xfId="0" applyBorder="1"/>
    <xf numFmtId="1" fontId="0" fillId="0" borderId="14" xfId="0" applyNumberFormat="1" applyBorder="1" applyAlignment="1">
      <alignment horizontal="center"/>
    </xf>
    <xf numFmtId="0" fontId="15" fillId="0" borderId="5" xfId="0" applyFont="1" applyBorder="1" applyAlignment="1">
      <alignment horizontal="center" vertical="center"/>
    </xf>
    <xf numFmtId="0" fontId="1" fillId="0" borderId="5" xfId="0" applyFont="1" applyBorder="1" applyAlignment="1">
      <alignment vertical="center"/>
    </xf>
    <xf numFmtId="0" fontId="1" fillId="0" borderId="9" xfId="0" applyFont="1" applyBorder="1" applyAlignment="1">
      <alignment horizontal="right" vertical="center"/>
    </xf>
    <xf numFmtId="0" fontId="0" fillId="0" borderId="10" xfId="0" applyBorder="1" applyAlignment="1">
      <alignment vertical="center"/>
    </xf>
    <xf numFmtId="1" fontId="18" fillId="0" borderId="14" xfId="0" applyNumberFormat="1" applyFont="1" applyBorder="1" applyAlignment="1">
      <alignment horizontal="center"/>
    </xf>
    <xf numFmtId="0" fontId="9" fillId="0" borderId="4" xfId="0" applyFont="1" applyBorder="1" applyAlignment="1">
      <alignment vertical="center" wrapText="1"/>
    </xf>
    <xf numFmtId="0" fontId="5" fillId="0" borderId="6" xfId="0" applyFont="1" applyBorder="1" applyAlignment="1">
      <alignment horizontal="right" vertical="center"/>
    </xf>
    <xf numFmtId="1" fontId="0" fillId="0" borderId="13" xfId="0" applyNumberFormat="1" applyBorder="1" applyAlignment="1">
      <alignment horizontal="center" vertical="center"/>
    </xf>
    <xf numFmtId="0" fontId="9" fillId="0" borderId="6" xfId="0" applyFont="1" applyBorder="1" applyAlignment="1">
      <alignment horizontal="right" vertical="center"/>
    </xf>
    <xf numFmtId="0" fontId="26" fillId="0" borderId="0" xfId="0" applyFont="1" applyAlignment="1">
      <alignment horizontal="right" vertical="center" wrapText="1"/>
    </xf>
    <xf numFmtId="1" fontId="6" fillId="0" borderId="25" xfId="0" applyNumberFormat="1" applyFont="1" applyBorder="1" applyAlignment="1">
      <alignment horizontal="center" vertical="center"/>
    </xf>
    <xf numFmtId="0" fontId="3" fillId="0" borderId="5" xfId="0" applyFont="1" applyBorder="1" applyAlignment="1">
      <alignment vertical="center" wrapText="1"/>
    </xf>
    <xf numFmtId="0" fontId="0" fillId="0" borderId="0" xfId="0" applyAlignment="1">
      <alignment horizontal="left" vertical="center" wrapText="1"/>
    </xf>
    <xf numFmtId="0" fontId="4" fillId="4" borderId="14" xfId="0" applyFont="1" applyFill="1" applyBorder="1" applyAlignment="1">
      <alignment horizontal="center" vertical="center"/>
    </xf>
    <xf numFmtId="1" fontId="23" fillId="0" borderId="14" xfId="0" applyNumberFormat="1" applyFont="1" applyBorder="1" applyAlignment="1">
      <alignment horizontal="center" vertical="center"/>
    </xf>
    <xf numFmtId="0" fontId="4" fillId="0" borderId="5" xfId="0" applyFont="1" applyBorder="1" applyAlignment="1">
      <alignment vertical="center" wrapText="1"/>
    </xf>
    <xf numFmtId="49" fontId="1" fillId="0" borderId="5" xfId="0" applyNumberFormat="1" applyFont="1" applyBorder="1"/>
    <xf numFmtId="0" fontId="37" fillId="0" borderId="0" xfId="3" applyAlignment="1">
      <alignment horizontal="left" vertical="center"/>
    </xf>
    <xf numFmtId="44" fontId="0" fillId="0" borderId="0" xfId="2" applyFont="1" applyBorder="1" applyAlignment="1">
      <alignment horizontal="center" vertical="center"/>
    </xf>
    <xf numFmtId="44" fontId="6" fillId="0" borderId="0" xfId="2" applyFont="1" applyBorder="1" applyAlignment="1">
      <alignment horizontal="left" vertical="center"/>
    </xf>
    <xf numFmtId="44" fontId="1" fillId="0" borderId="0" xfId="2" applyFont="1" applyBorder="1" applyAlignment="1">
      <alignment vertical="center"/>
    </xf>
    <xf numFmtId="44" fontId="0" fillId="0" borderId="0" xfId="2" applyFont="1" applyBorder="1" applyAlignment="1">
      <alignment horizontal="left" vertical="center"/>
    </xf>
    <xf numFmtId="0" fontId="32" fillId="0" borderId="0" xfId="0" applyFont="1" applyAlignment="1">
      <alignment horizontal="center" vertical="center"/>
    </xf>
    <xf numFmtId="0" fontId="0" fillId="0" borderId="14" xfId="0" applyBorder="1" applyAlignment="1">
      <alignment vertical="center"/>
    </xf>
    <xf numFmtId="1" fontId="5" fillId="0" borderId="14" xfId="0" applyNumberFormat="1" applyFont="1" applyBorder="1" applyAlignment="1">
      <alignment horizontal="center" vertical="center"/>
    </xf>
    <xf numFmtId="0" fontId="18" fillId="0" borderId="2" xfId="0" applyFont="1" applyBorder="1" applyAlignment="1">
      <alignment horizont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1" fontId="6" fillId="0" borderId="31" xfId="0" applyNumberFormat="1" applyFont="1" applyBorder="1" applyAlignment="1">
      <alignment horizontal="center" vertical="center"/>
    </xf>
    <xf numFmtId="1" fontId="6" fillId="0" borderId="32" xfId="0" applyNumberFormat="1" applyFont="1" applyBorder="1" applyAlignment="1">
      <alignment horizontal="center" vertical="center"/>
    </xf>
    <xf numFmtId="1" fontId="6" fillId="0" borderId="33" xfId="0" applyNumberFormat="1" applyFont="1" applyBorder="1" applyAlignment="1">
      <alignment horizontal="center" vertical="center"/>
    </xf>
    <xf numFmtId="0" fontId="6" fillId="0" borderId="27" xfId="0" applyFont="1" applyBorder="1" applyAlignment="1">
      <alignment horizontal="center" vertical="center" wrapText="1"/>
    </xf>
    <xf numFmtId="1" fontId="6" fillId="0" borderId="27" xfId="0" applyNumberFormat="1" applyFont="1" applyBorder="1" applyAlignment="1">
      <alignment horizontal="center"/>
    </xf>
    <xf numFmtId="1" fontId="5" fillId="0" borderId="12" xfId="0" applyNumberFormat="1" applyFont="1" applyBorder="1" applyAlignment="1">
      <alignment horizontal="center" vertical="center"/>
    </xf>
    <xf numFmtId="0" fontId="16" fillId="0" borderId="10" xfId="0" applyFont="1" applyBorder="1" applyAlignment="1">
      <alignment horizontal="center" vertical="center" wrapText="1"/>
    </xf>
    <xf numFmtId="0" fontId="6" fillId="0" borderId="2" xfId="0" applyFont="1" applyBorder="1" applyAlignment="1">
      <alignment horizontal="right" vertical="center"/>
    </xf>
    <xf numFmtId="0" fontId="6" fillId="0" borderId="4" xfId="0" applyFont="1" applyBorder="1" applyAlignment="1">
      <alignment horizontal="left" vertical="center"/>
    </xf>
    <xf numFmtId="1" fontId="6" fillId="0" borderId="27" xfId="0" applyNumberFormat="1" applyFont="1" applyBorder="1" applyAlignment="1">
      <alignment horizontal="center" vertical="center"/>
    </xf>
    <xf numFmtId="0" fontId="34" fillId="0" borderId="0" xfId="0" applyFont="1" applyAlignment="1">
      <alignment horizontal="center" vertical="center"/>
    </xf>
    <xf numFmtId="3" fontId="0" fillId="0" borderId="0" xfId="0" applyNumberFormat="1" applyAlignment="1">
      <alignment horizontal="center" vertical="center"/>
    </xf>
    <xf numFmtId="0" fontId="1" fillId="0" borderId="34" xfId="0" applyFont="1" applyBorder="1" applyAlignment="1">
      <alignment horizontal="right" vertical="center"/>
    </xf>
    <xf numFmtId="0" fontId="6" fillId="0" borderId="35" xfId="0" applyFont="1" applyBorder="1" applyAlignment="1">
      <alignment horizontal="right" vertical="center"/>
    </xf>
    <xf numFmtId="0" fontId="39" fillId="0" borderId="36" xfId="0" applyFont="1" applyBorder="1" applyAlignment="1">
      <alignment vertical="center"/>
    </xf>
    <xf numFmtId="0" fontId="19" fillId="0" borderId="0" xfId="0" applyFont="1" applyAlignment="1">
      <alignment horizontal="center" vertical="center"/>
    </xf>
    <xf numFmtId="0" fontId="1" fillId="0" borderId="14" xfId="0" applyFont="1" applyBorder="1" applyAlignment="1">
      <alignment horizontal="center"/>
    </xf>
    <xf numFmtId="0" fontId="1" fillId="0" borderId="26" xfId="0" applyFont="1" applyBorder="1" applyAlignment="1">
      <alignment horizontal="center"/>
    </xf>
    <xf numFmtId="0" fontId="9" fillId="0" borderId="0" xfId="0" applyFont="1" applyAlignment="1">
      <alignment vertical="center" wrapText="1"/>
    </xf>
    <xf numFmtId="0" fontId="5" fillId="0" borderId="0" xfId="0" applyFont="1" applyAlignment="1">
      <alignment horizontal="left"/>
    </xf>
    <xf numFmtId="0" fontId="0" fillId="0" borderId="13" xfId="0" applyBorder="1" applyAlignment="1">
      <alignment vertical="center"/>
    </xf>
    <xf numFmtId="0" fontId="1" fillId="0" borderId="34" xfId="0" applyFont="1" applyBorder="1" applyAlignment="1">
      <alignment horizontal="right"/>
    </xf>
    <xf numFmtId="0" fontId="39" fillId="0" borderId="0" xfId="0" applyFont="1" applyAlignment="1">
      <alignment vertical="center"/>
    </xf>
    <xf numFmtId="0" fontId="28" fillId="0" borderId="14" xfId="0" applyFont="1" applyBorder="1" applyAlignment="1">
      <alignment vertical="center"/>
    </xf>
    <xf numFmtId="1" fontId="11" fillId="0" borderId="14" xfId="0" applyNumberFormat="1" applyFont="1" applyBorder="1" applyAlignment="1">
      <alignment horizontal="center" vertical="center"/>
    </xf>
    <xf numFmtId="0" fontId="5" fillId="0" borderId="14" xfId="0" applyFont="1" applyBorder="1" applyAlignment="1">
      <alignment horizontal="left" vertical="center"/>
    </xf>
    <xf numFmtId="0" fontId="14" fillId="0" borderId="6" xfId="0" applyFont="1" applyBorder="1" applyAlignment="1">
      <alignment horizontal="right" vertical="center"/>
    </xf>
    <xf numFmtId="0" fontId="6" fillId="0" borderId="5" xfId="0" applyFont="1" applyBorder="1" applyAlignment="1">
      <alignment horizontal="left" vertical="center"/>
    </xf>
    <xf numFmtId="0" fontId="0" fillId="0" borderId="25" xfId="0" applyBorder="1" applyAlignment="1">
      <alignment vertical="center"/>
    </xf>
    <xf numFmtId="0" fontId="4" fillId="0" borderId="0" xfId="0" applyFont="1" applyAlignment="1">
      <alignment horizontal="center" vertical="center"/>
    </xf>
    <xf numFmtId="49" fontId="1" fillId="0" borderId="5" xfId="0" applyNumberFormat="1" applyFont="1" applyBorder="1" applyAlignment="1">
      <alignment vertical="center"/>
    </xf>
    <xf numFmtId="44" fontId="6" fillId="0" borderId="14" xfId="2" applyFont="1" applyBorder="1" applyAlignment="1">
      <alignment vertical="center"/>
    </xf>
    <xf numFmtId="0" fontId="1" fillId="0" borderId="1" xfId="0" applyFont="1" applyBorder="1" applyAlignment="1">
      <alignment horizontal="right" vertical="center"/>
    </xf>
    <xf numFmtId="0" fontId="1" fillId="0" borderId="3" xfId="0" applyFont="1" applyBorder="1" applyAlignment="1">
      <alignment horizontal="center" vertical="center"/>
    </xf>
    <xf numFmtId="0" fontId="6" fillId="0" borderId="10" xfId="0" applyFont="1" applyBorder="1" applyAlignment="1">
      <alignment horizontal="left" vertical="center"/>
    </xf>
    <xf numFmtId="1" fontId="11" fillId="0" borderId="38" xfId="0" applyNumberFormat="1" applyFont="1" applyBorder="1" applyAlignment="1">
      <alignment horizontal="center" vertical="center"/>
    </xf>
    <xf numFmtId="0" fontId="21" fillId="0" borderId="0" xfId="0" applyFont="1" applyAlignment="1">
      <alignment vertical="center"/>
    </xf>
    <xf numFmtId="49" fontId="23" fillId="0" borderId="0" xfId="0" applyNumberFormat="1" applyFont="1" applyAlignment="1">
      <alignment horizontal="left" vertical="center"/>
    </xf>
    <xf numFmtId="165" fontId="0" fillId="0" borderId="14" xfId="0" applyNumberFormat="1" applyBorder="1" applyAlignment="1">
      <alignment horizontal="center"/>
    </xf>
    <xf numFmtId="0" fontId="1" fillId="0" borderId="15" xfId="0" applyFont="1" applyBorder="1" applyAlignment="1">
      <alignment horizontal="center" vertical="center"/>
    </xf>
    <xf numFmtId="0" fontId="1" fillId="0" borderId="16" xfId="0" applyFont="1" applyBorder="1" applyAlignment="1">
      <alignment horizontal="right" vertical="center"/>
    </xf>
    <xf numFmtId="0" fontId="1" fillId="0" borderId="17" xfId="0" applyFont="1" applyBorder="1" applyAlignment="1">
      <alignment horizontal="center" vertical="center"/>
    </xf>
    <xf numFmtId="3" fontId="18" fillId="0" borderId="0" xfId="0" applyNumberFormat="1" applyFont="1" applyAlignment="1">
      <alignment horizontal="right" vertical="center"/>
    </xf>
    <xf numFmtId="49" fontId="45" fillId="0" borderId="0" xfId="0" applyNumberFormat="1" applyFont="1" applyAlignment="1">
      <alignment horizontal="right" vertical="center"/>
    </xf>
    <xf numFmtId="0" fontId="14" fillId="0" borderId="25" xfId="0" applyFont="1" applyBorder="1" applyAlignment="1">
      <alignment horizontal="center" vertical="center"/>
    </xf>
    <xf numFmtId="0" fontId="23" fillId="0" borderId="0" xfId="0" applyFont="1"/>
    <xf numFmtId="1" fontId="23" fillId="0" borderId="0" xfId="0" applyNumberFormat="1" applyFont="1" applyAlignment="1">
      <alignment horizontal="center"/>
    </xf>
    <xf numFmtId="0" fontId="5" fillId="0" borderId="0" xfId="0" applyFont="1" applyAlignment="1">
      <alignment horizontal="center"/>
    </xf>
    <xf numFmtId="1" fontId="5" fillId="0" borderId="0" xfId="0" applyNumberFormat="1" applyFont="1" applyAlignment="1">
      <alignment horizontal="center"/>
    </xf>
    <xf numFmtId="0" fontId="9" fillId="0" borderId="8" xfId="0" applyFont="1" applyBorder="1" applyAlignment="1">
      <alignment vertical="center" wrapText="1"/>
    </xf>
    <xf numFmtId="0" fontId="18" fillId="0" borderId="27" xfId="0" applyFont="1" applyBorder="1" applyAlignment="1">
      <alignment horizontal="center" vertical="center" wrapText="1"/>
    </xf>
    <xf numFmtId="0" fontId="36" fillId="0" borderId="30" xfId="0" applyFont="1" applyBorder="1" applyAlignment="1">
      <alignment horizontal="center" vertical="center"/>
    </xf>
    <xf numFmtId="0" fontId="4" fillId="4" borderId="14" xfId="0" applyFont="1" applyFill="1" applyBorder="1" applyAlignment="1">
      <alignment horizontal="center"/>
    </xf>
    <xf numFmtId="49" fontId="1" fillId="0" borderId="0" xfId="0" applyNumberFormat="1" applyFont="1" applyAlignment="1">
      <alignment horizontal="left"/>
    </xf>
    <xf numFmtId="0" fontId="3" fillId="0" borderId="0" xfId="0" applyFont="1" applyAlignment="1">
      <alignment vertical="center"/>
    </xf>
    <xf numFmtId="0" fontId="1" fillId="0" borderId="1" xfId="0" applyFont="1" applyBorder="1" applyAlignment="1">
      <alignment horizontal="center" vertical="center"/>
    </xf>
    <xf numFmtId="0" fontId="41" fillId="0" borderId="14" xfId="0" applyFont="1" applyBorder="1" applyAlignment="1">
      <alignment horizontal="center" vertical="center"/>
    </xf>
    <xf numFmtId="0" fontId="18" fillId="3" borderId="44" xfId="0" applyFont="1" applyFill="1" applyBorder="1" applyAlignment="1" applyProtection="1">
      <alignment horizontal="center"/>
      <protection locked="0"/>
    </xf>
    <xf numFmtId="0" fontId="1" fillId="3" borderId="18" xfId="0" applyFont="1" applyFill="1" applyBorder="1" applyProtection="1">
      <protection locked="0"/>
    </xf>
    <xf numFmtId="0" fontId="0" fillId="3" borderId="18" xfId="0" applyFill="1" applyBorder="1" applyProtection="1">
      <protection locked="0"/>
    </xf>
    <xf numFmtId="0" fontId="1" fillId="2" borderId="0" xfId="0" applyFont="1" applyFill="1" applyAlignment="1" applyProtection="1">
      <alignment horizontal="center"/>
      <protection locked="0"/>
    </xf>
    <xf numFmtId="0" fontId="0" fillId="3" borderId="14" xfId="0" applyFill="1" applyBorder="1" applyAlignment="1" applyProtection="1">
      <alignment horizontal="center"/>
      <protection locked="0"/>
    </xf>
    <xf numFmtId="0" fontId="1" fillId="2" borderId="0" xfId="0" applyFont="1" applyFill="1" applyAlignment="1" applyProtection="1">
      <alignment horizontal="center" vertical="center"/>
      <protection locked="0"/>
    </xf>
    <xf numFmtId="0" fontId="4" fillId="3" borderId="18" xfId="0" applyFont="1" applyFill="1" applyBorder="1" applyAlignment="1" applyProtection="1">
      <alignment vertical="center"/>
      <protection locked="0"/>
    </xf>
    <xf numFmtId="0" fontId="1" fillId="3" borderId="0" xfId="0" applyFont="1" applyFill="1" applyAlignment="1" applyProtection="1">
      <alignment horizontal="center"/>
      <protection locked="0"/>
    </xf>
    <xf numFmtId="0" fontId="1" fillId="3" borderId="0" xfId="0" applyFont="1" applyFill="1" applyAlignment="1" applyProtection="1">
      <alignment horizontal="center" vertical="center"/>
      <protection locked="0"/>
    </xf>
    <xf numFmtId="165" fontId="1" fillId="3" borderId="13" xfId="0" applyNumberFormat="1" applyFont="1" applyFill="1" applyBorder="1" applyAlignment="1" applyProtection="1">
      <alignment horizontal="center" vertical="center"/>
      <protection locked="0"/>
    </xf>
    <xf numFmtId="0" fontId="6" fillId="0" borderId="27" xfId="0" applyFont="1" applyBorder="1" applyAlignment="1">
      <alignment horizontal="center" vertical="center"/>
    </xf>
    <xf numFmtId="0" fontId="6" fillId="0" borderId="0" xfId="0" applyFont="1" applyAlignment="1">
      <alignment horizontal="center" vertical="center"/>
    </xf>
    <xf numFmtId="0" fontId="6" fillId="0" borderId="30" xfId="0" applyFont="1" applyBorder="1" applyAlignment="1">
      <alignment horizontal="center" vertical="center" wrapText="1"/>
    </xf>
    <xf numFmtId="0" fontId="9" fillId="0" borderId="10" xfId="0" applyFont="1" applyBorder="1" applyAlignment="1">
      <alignment vertical="center" wrapText="1"/>
    </xf>
    <xf numFmtId="0" fontId="0" fillId="0" borderId="25" xfId="0" applyBorder="1" applyAlignment="1">
      <alignment horizontal="right"/>
    </xf>
    <xf numFmtId="0" fontId="1" fillId="0" borderId="7" xfId="0" applyFont="1" applyBorder="1" applyAlignment="1">
      <alignment horizontal="center" vertical="center"/>
    </xf>
    <xf numFmtId="0" fontId="18" fillId="0" borderId="13" xfId="0" applyFont="1" applyBorder="1" applyAlignment="1">
      <alignment horizontal="center" vertical="center" wrapText="1"/>
    </xf>
    <xf numFmtId="44" fontId="0" fillId="0" borderId="13" xfId="2" applyFont="1" applyBorder="1" applyAlignment="1" applyProtection="1">
      <alignment horizontal="center" vertical="center"/>
    </xf>
    <xf numFmtId="44" fontId="6" fillId="0" borderId="14" xfId="2" applyFont="1" applyBorder="1" applyAlignment="1" applyProtection="1">
      <alignment horizontal="left" vertical="center"/>
    </xf>
    <xf numFmtId="0" fontId="1" fillId="0" borderId="9" xfId="0" applyFont="1" applyBorder="1" applyAlignment="1">
      <alignment horizontal="center" vertical="center"/>
    </xf>
    <xf numFmtId="0" fontId="18" fillId="0" borderId="12" xfId="0" applyFont="1" applyBorder="1" applyAlignment="1">
      <alignment horizontal="center" vertical="center"/>
    </xf>
    <xf numFmtId="1" fontId="18" fillId="0" borderId="1" xfId="0" applyNumberFormat="1" applyFont="1" applyBorder="1" applyAlignment="1">
      <alignment horizontal="center" vertical="center"/>
    </xf>
    <xf numFmtId="44" fontId="1" fillId="0" borderId="14" xfId="2" applyFont="1" applyBorder="1" applyAlignment="1" applyProtection="1">
      <alignment vertical="center"/>
    </xf>
    <xf numFmtId="44" fontId="0" fillId="0" borderId="14" xfId="2" applyFont="1" applyBorder="1" applyAlignment="1" applyProtection="1">
      <alignment horizontal="left" vertical="center"/>
    </xf>
    <xf numFmtId="44" fontId="1" fillId="0" borderId="25" xfId="2" applyFont="1" applyBorder="1" applyAlignment="1" applyProtection="1">
      <alignment horizontal="left" vertical="center"/>
    </xf>
    <xf numFmtId="0" fontId="18" fillId="0" borderId="1" xfId="0" applyFont="1" applyBorder="1" applyAlignment="1">
      <alignment horizontal="center" vertical="center" wrapText="1"/>
    </xf>
    <xf numFmtId="49" fontId="0" fillId="0" borderId="0" xfId="0" applyNumberFormat="1" applyAlignment="1">
      <alignment horizontal="center" vertical="center"/>
    </xf>
    <xf numFmtId="0" fontId="18" fillId="3" borderId="25" xfId="0" applyFont="1" applyFill="1" applyBorder="1" applyAlignment="1" applyProtection="1">
      <alignment horizontal="center" vertical="center"/>
      <protection locked="0"/>
    </xf>
    <xf numFmtId="0" fontId="1" fillId="3" borderId="26" xfId="0" applyFont="1" applyFill="1" applyBorder="1" applyAlignment="1" applyProtection="1">
      <alignment vertical="center"/>
      <protection locked="0"/>
    </xf>
    <xf numFmtId="0" fontId="0" fillId="3" borderId="26" xfId="0" applyFill="1" applyBorder="1" applyAlignment="1" applyProtection="1">
      <alignment vertical="center"/>
      <protection locked="0"/>
    </xf>
    <xf numFmtId="0" fontId="4" fillId="3" borderId="26" xfId="0" applyFont="1" applyFill="1" applyBorder="1" applyAlignment="1" applyProtection="1">
      <alignment vertical="center"/>
      <protection locked="0"/>
    </xf>
    <xf numFmtId="0" fontId="1" fillId="2" borderId="14" xfId="0" applyFont="1" applyFill="1" applyBorder="1" applyAlignment="1" applyProtection="1">
      <alignment horizontal="center" vertical="center"/>
      <protection locked="0"/>
    </xf>
    <xf numFmtId="0" fontId="1" fillId="3" borderId="18" xfId="0" applyFont="1" applyFill="1" applyBorder="1" applyAlignment="1" applyProtection="1">
      <alignment vertical="center"/>
      <protection locked="0"/>
    </xf>
    <xf numFmtId="0" fontId="0" fillId="3" borderId="18" xfId="0" applyFill="1" applyBorder="1" applyAlignment="1" applyProtection="1">
      <alignment vertical="center"/>
      <protection locked="0"/>
    </xf>
    <xf numFmtId="0" fontId="0" fillId="3" borderId="14" xfId="0"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0" fontId="18" fillId="3" borderId="44" xfId="0" applyFont="1" applyFill="1" applyBorder="1" applyAlignment="1" applyProtection="1">
      <alignment horizontal="center" vertical="center"/>
      <protection locked="0"/>
    </xf>
    <xf numFmtId="165" fontId="0" fillId="3" borderId="13" xfId="0" applyNumberFormat="1" applyFill="1" applyBorder="1" applyAlignment="1" applyProtection="1">
      <alignment horizontal="center" vertical="center"/>
      <protection locked="0"/>
    </xf>
    <xf numFmtId="0" fontId="1" fillId="0" borderId="0" xfId="0" applyFont="1" applyAlignment="1" applyProtection="1">
      <alignment horizontal="right"/>
      <protection locked="0"/>
    </xf>
    <xf numFmtId="0" fontId="1" fillId="3" borderId="26" xfId="0" applyFont="1" applyFill="1" applyBorder="1" applyProtection="1">
      <protection locked="0"/>
    </xf>
    <xf numFmtId="0" fontId="0" fillId="3" borderId="26" xfId="0" applyFill="1" applyBorder="1" applyProtection="1">
      <protection locked="0"/>
    </xf>
    <xf numFmtId="0" fontId="1" fillId="2" borderId="18" xfId="0" applyFont="1" applyFill="1" applyBorder="1" applyAlignment="1" applyProtection="1">
      <alignment horizontal="center"/>
      <protection locked="0"/>
    </xf>
    <xf numFmtId="0" fontId="1" fillId="2" borderId="26" xfId="0" applyFont="1" applyFill="1" applyBorder="1" applyAlignment="1" applyProtection="1">
      <alignment horizontal="center"/>
      <protection locked="0"/>
    </xf>
    <xf numFmtId="0" fontId="1" fillId="2" borderId="37" xfId="0" applyFont="1" applyFill="1" applyBorder="1" applyAlignment="1" applyProtection="1">
      <alignment horizontal="center" vertical="center"/>
      <protection locked="0"/>
    </xf>
    <xf numFmtId="0" fontId="1" fillId="2" borderId="14" xfId="0" applyFont="1" applyFill="1" applyBorder="1" applyAlignment="1" applyProtection="1">
      <alignment horizontal="center"/>
      <protection locked="0"/>
    </xf>
    <xf numFmtId="0" fontId="1" fillId="2" borderId="25" xfId="0" applyFont="1" applyFill="1" applyBorder="1" applyAlignment="1" applyProtection="1">
      <alignment horizontal="center" vertical="center"/>
      <protection locked="0"/>
    </xf>
    <xf numFmtId="0" fontId="1" fillId="3" borderId="13" xfId="0" applyFont="1" applyFill="1" applyBorder="1" applyAlignment="1" applyProtection="1">
      <alignment horizontal="center" vertical="center"/>
      <protection locked="0"/>
    </xf>
    <xf numFmtId="0" fontId="1" fillId="3" borderId="14" xfId="0" applyFont="1" applyFill="1" applyBorder="1" applyAlignment="1" applyProtection="1">
      <alignment horizontal="center" vertical="center"/>
      <protection locked="0"/>
    </xf>
    <xf numFmtId="0" fontId="0" fillId="3" borderId="13" xfId="0" applyFill="1" applyBorder="1" applyAlignment="1" applyProtection="1">
      <alignment horizontal="center" vertical="center"/>
      <protection locked="0"/>
    </xf>
    <xf numFmtId="1" fontId="32" fillId="3" borderId="14" xfId="0" applyNumberFormat="1" applyFont="1" applyFill="1" applyBorder="1" applyAlignment="1" applyProtection="1">
      <alignment horizontal="center" vertical="center"/>
      <protection locked="0"/>
    </xf>
    <xf numFmtId="0" fontId="0" fillId="3" borderId="13" xfId="0" applyFill="1" applyBorder="1" applyAlignment="1" applyProtection="1">
      <alignment horizontal="center"/>
      <protection locked="0"/>
    </xf>
    <xf numFmtId="0" fontId="4" fillId="3" borderId="6" xfId="0" applyFont="1" applyFill="1" applyBorder="1" applyAlignment="1" applyProtection="1">
      <alignment horizontal="center"/>
      <protection locked="0"/>
    </xf>
    <xf numFmtId="0" fontId="1" fillId="3" borderId="11" xfId="0" applyFont="1" applyFill="1" applyBorder="1" applyAlignment="1" applyProtection="1">
      <alignment horizontal="center"/>
      <protection locked="0"/>
    </xf>
    <xf numFmtId="0" fontId="13" fillId="2" borderId="6" xfId="0" applyFont="1" applyFill="1" applyBorder="1" applyAlignment="1" applyProtection="1">
      <alignment horizontal="center" vertical="center" wrapText="1"/>
      <protection locked="0"/>
    </xf>
    <xf numFmtId="0" fontId="56" fillId="0" borderId="0" xfId="0" applyFont="1" applyAlignment="1">
      <alignment horizontal="center" vertical="center" wrapText="1"/>
    </xf>
    <xf numFmtId="0" fontId="1" fillId="3" borderId="39" xfId="0" applyFont="1" applyFill="1" applyBorder="1" applyAlignment="1" applyProtection="1">
      <alignment horizontal="center" vertical="center"/>
      <protection locked="0"/>
    </xf>
    <xf numFmtId="0" fontId="18" fillId="0" borderId="2" xfId="0" applyFont="1" applyBorder="1" applyAlignment="1">
      <alignment horizontal="center" vertical="center"/>
    </xf>
    <xf numFmtId="0" fontId="49" fillId="0" borderId="13" xfId="0" applyFont="1" applyBorder="1" applyAlignment="1">
      <alignment horizontal="center" vertical="center"/>
    </xf>
    <xf numFmtId="0" fontId="18" fillId="0" borderId="1" xfId="0" applyFont="1" applyBorder="1" applyAlignment="1">
      <alignment horizontal="center" vertical="center"/>
    </xf>
    <xf numFmtId="0" fontId="26" fillId="0" borderId="32" xfId="0" applyFont="1" applyBorder="1" applyAlignment="1">
      <alignment horizontal="center" vertical="center" wrapText="1"/>
    </xf>
    <xf numFmtId="0" fontId="32" fillId="0" borderId="14" xfId="0" applyFont="1" applyBorder="1" applyAlignment="1">
      <alignment horizontal="center" vertical="center"/>
    </xf>
    <xf numFmtId="0" fontId="18" fillId="0" borderId="29" xfId="0" applyFont="1" applyBorder="1" applyAlignment="1">
      <alignment horizontal="center" vertical="center" wrapText="1"/>
    </xf>
    <xf numFmtId="0" fontId="18" fillId="3" borderId="1" xfId="0" applyFont="1" applyFill="1" applyBorder="1" applyAlignment="1" applyProtection="1">
      <alignment horizontal="center"/>
      <protection locked="0"/>
    </xf>
    <xf numFmtId="0" fontId="58" fillId="0" borderId="0" xfId="0" applyFont="1" applyAlignment="1">
      <alignment vertical="center"/>
    </xf>
    <xf numFmtId="0" fontId="59" fillId="0" borderId="0" xfId="0" applyFont="1" applyAlignment="1">
      <alignment horizontal="center" vertical="center"/>
    </xf>
    <xf numFmtId="0" fontId="58" fillId="0" borderId="0" xfId="0" applyFont="1" applyAlignment="1">
      <alignment horizontal="center" vertical="center"/>
    </xf>
    <xf numFmtId="0" fontId="58" fillId="0" borderId="0" xfId="0" applyFont="1"/>
    <xf numFmtId="0" fontId="58" fillId="0" borderId="0" xfId="0" applyFont="1" applyAlignment="1">
      <alignment horizontal="center"/>
    </xf>
    <xf numFmtId="0" fontId="59" fillId="0" borderId="0" xfId="0" applyFont="1" applyAlignment="1">
      <alignment horizontal="right"/>
    </xf>
    <xf numFmtId="0" fontId="13" fillId="0" borderId="0" xfId="0" applyFont="1" applyAlignment="1">
      <alignment horizontal="center" vertical="center" wrapText="1"/>
    </xf>
    <xf numFmtId="0" fontId="9" fillId="0" borderId="0" xfId="0" applyFont="1" applyAlignment="1">
      <alignment horizontal="center" vertical="center"/>
    </xf>
    <xf numFmtId="0" fontId="32" fillId="0" borderId="0" xfId="0" applyFont="1" applyAlignment="1">
      <alignment vertical="center"/>
    </xf>
    <xf numFmtId="1" fontId="18" fillId="3" borderId="14" xfId="0" applyNumberFormat="1" applyFont="1" applyFill="1" applyBorder="1" applyAlignment="1" applyProtection="1">
      <alignment horizontal="center" vertical="center"/>
      <protection locked="0"/>
    </xf>
    <xf numFmtId="1" fontId="18" fillId="3" borderId="14" xfId="0" applyNumberFormat="1" applyFont="1" applyFill="1" applyBorder="1" applyAlignment="1" applyProtection="1">
      <alignment horizontal="center"/>
      <protection locked="0"/>
    </xf>
    <xf numFmtId="165" fontId="1" fillId="3" borderId="0" xfId="0" applyNumberFormat="1" applyFont="1" applyFill="1" applyAlignment="1" applyProtection="1">
      <alignment horizontal="center" vertical="center"/>
      <protection locked="0"/>
    </xf>
    <xf numFmtId="0" fontId="52" fillId="0" borderId="9" xfId="0" applyFont="1" applyBorder="1" applyAlignment="1">
      <alignment horizontal="center" vertical="center"/>
    </xf>
    <xf numFmtId="165" fontId="1" fillId="3" borderId="5" xfId="0" applyNumberFormat="1" applyFont="1" applyFill="1" applyBorder="1" applyAlignment="1" applyProtection="1">
      <alignment horizontal="center" vertical="center"/>
      <protection locked="0"/>
    </xf>
    <xf numFmtId="0" fontId="32" fillId="0" borderId="5" xfId="0" applyFont="1" applyBorder="1" applyAlignment="1">
      <alignment horizontal="center" vertical="center"/>
    </xf>
    <xf numFmtId="1" fontId="15" fillId="0" borderId="11" xfId="0" applyNumberFormat="1" applyFont="1" applyBorder="1" applyAlignment="1">
      <alignment horizontal="center" vertical="center"/>
    </xf>
    <xf numFmtId="0" fontId="0" fillId="0" borderId="13" xfId="0" applyBorder="1"/>
    <xf numFmtId="0" fontId="4" fillId="0" borderId="14" xfId="0" applyFont="1" applyBorder="1"/>
    <xf numFmtId="49" fontId="1" fillId="0" borderId="14" xfId="0" applyNumberFormat="1" applyFont="1" applyBorder="1"/>
    <xf numFmtId="0" fontId="23" fillId="0" borderId="14" xfId="0" applyFont="1" applyBorder="1" applyAlignment="1">
      <alignment horizontal="left" vertical="center"/>
    </xf>
    <xf numFmtId="0" fontId="0" fillId="0" borderId="0" xfId="0" applyAlignment="1">
      <alignment horizontal="left" vertical="top" wrapText="1"/>
    </xf>
    <xf numFmtId="0" fontId="0" fillId="0" borderId="20" xfId="0" applyBorder="1" applyAlignment="1">
      <alignment horizontal="center" vertical="center"/>
    </xf>
    <xf numFmtId="0" fontId="18" fillId="3" borderId="27" xfId="0" applyFont="1" applyFill="1" applyBorder="1" applyAlignment="1" applyProtection="1">
      <alignment horizontal="center" vertical="center"/>
      <protection locked="0"/>
    </xf>
    <xf numFmtId="0" fontId="26" fillId="0" borderId="0" xfId="0" applyFont="1" applyAlignment="1">
      <alignment horizontal="center" vertical="center"/>
    </xf>
    <xf numFmtId="0" fontId="0" fillId="0" borderId="16" xfId="0" applyBorder="1" applyAlignment="1">
      <alignment vertical="center"/>
    </xf>
    <xf numFmtId="0" fontId="0" fillId="0" borderId="23" xfId="0" applyBorder="1" applyAlignment="1">
      <alignment horizontal="center" vertical="center"/>
    </xf>
    <xf numFmtId="0" fontId="1" fillId="0" borderId="21" xfId="0" applyFont="1" applyBorder="1" applyAlignment="1">
      <alignment horizontal="center" vertical="center" wrapText="1"/>
    </xf>
    <xf numFmtId="0" fontId="1" fillId="0" borderId="56" xfId="0" applyFont="1" applyBorder="1" applyAlignment="1">
      <alignment horizontal="center" vertical="center" wrapText="1"/>
    </xf>
    <xf numFmtId="0" fontId="58" fillId="0" borderId="0" xfId="0" applyFont="1" applyAlignment="1">
      <alignment horizontal="right"/>
    </xf>
    <xf numFmtId="0" fontId="1" fillId="3" borderId="52" xfId="0" applyFont="1" applyFill="1" applyBorder="1" applyAlignment="1" applyProtection="1">
      <alignment horizontal="center" vertical="center"/>
      <protection locked="0"/>
    </xf>
    <xf numFmtId="3" fontId="18" fillId="0" borderId="27" xfId="0" applyNumberFormat="1" applyFont="1" applyBorder="1" applyAlignment="1">
      <alignment horizontal="center" vertical="center"/>
    </xf>
    <xf numFmtId="0" fontId="1" fillId="3" borderId="49" xfId="0" applyFont="1" applyFill="1" applyBorder="1" applyAlignment="1" applyProtection="1">
      <alignment horizontal="center" vertical="center"/>
      <protection locked="0"/>
    </xf>
    <xf numFmtId="0" fontId="1" fillId="0" borderId="59" xfId="0" applyFont="1" applyBorder="1" applyAlignment="1">
      <alignment horizontal="center" vertical="center"/>
    </xf>
    <xf numFmtId="0" fontId="1" fillId="0" borderId="44" xfId="0" applyFont="1" applyBorder="1" applyAlignment="1">
      <alignment horizontal="center" vertical="center"/>
    </xf>
    <xf numFmtId="0" fontId="1" fillId="0" borderId="61" xfId="0" applyFont="1" applyBorder="1" applyAlignment="1">
      <alignment horizontal="center" vertical="center"/>
    </xf>
    <xf numFmtId="1" fontId="1" fillId="0" borderId="23" xfId="0" applyNumberFormat="1" applyFont="1" applyBorder="1" applyAlignment="1">
      <alignment horizontal="right" vertical="center"/>
    </xf>
    <xf numFmtId="0" fontId="59" fillId="0" borderId="0" xfId="0" applyFont="1" applyAlignment="1">
      <alignment horizontal="center"/>
    </xf>
    <xf numFmtId="0" fontId="58" fillId="0" borderId="0" xfId="0" applyFont="1" applyAlignment="1">
      <alignment horizontal="right" vertical="center"/>
    </xf>
    <xf numFmtId="0" fontId="26" fillId="2" borderId="0" xfId="0" applyFont="1" applyFill="1" applyAlignment="1" applyProtection="1">
      <alignment horizontal="center" vertical="center"/>
      <protection locked="0"/>
    </xf>
    <xf numFmtId="0" fontId="43" fillId="0" borderId="13" xfId="0" applyFont="1" applyBorder="1" applyAlignment="1">
      <alignment horizontal="center"/>
    </xf>
    <xf numFmtId="0" fontId="23" fillId="0" borderId="0" xfId="0" applyFont="1" applyAlignment="1">
      <alignment horizontal="center" vertical="center"/>
    </xf>
    <xf numFmtId="0" fontId="23" fillId="0" borderId="0" xfId="0" applyFont="1" applyAlignment="1">
      <alignment horizontal="center" vertical="center" wrapText="1"/>
    </xf>
    <xf numFmtId="0" fontId="61" fillId="0" borderId="0" xfId="0" applyFont="1" applyAlignment="1">
      <alignment horizontal="center" vertical="center" wrapText="1"/>
    </xf>
    <xf numFmtId="0" fontId="39" fillId="0" borderId="0" xfId="0" applyFont="1" applyAlignment="1">
      <alignment horizontal="center" vertical="center"/>
    </xf>
    <xf numFmtId="0" fontId="1" fillId="2" borderId="25" xfId="0" applyFont="1" applyFill="1" applyBorder="1" applyAlignment="1" applyProtection="1">
      <alignment horizontal="center" vertical="center" wrapText="1"/>
      <protection locked="0"/>
    </xf>
    <xf numFmtId="3" fontId="2" fillId="0" borderId="27" xfId="0" applyNumberFormat="1" applyFont="1" applyBorder="1" applyAlignment="1">
      <alignment horizontal="center" vertical="center"/>
    </xf>
    <xf numFmtId="0" fontId="1" fillId="0" borderId="16" xfId="0" applyFont="1" applyBorder="1" applyAlignment="1">
      <alignment horizontal="center" vertical="center"/>
    </xf>
    <xf numFmtId="0" fontId="4" fillId="0" borderId="0" xfId="0" applyFont="1" applyAlignment="1">
      <alignment horizontal="left" vertical="top" wrapText="1"/>
    </xf>
    <xf numFmtId="0" fontId="4" fillId="0" borderId="0" xfId="0" applyFont="1" applyAlignment="1">
      <alignment horizontal="center" vertical="center" wrapText="1"/>
    </xf>
    <xf numFmtId="1" fontId="59" fillId="0" borderId="0" xfId="0" applyNumberFormat="1" applyFont="1" applyAlignment="1">
      <alignment horizontal="center" vertical="center"/>
    </xf>
    <xf numFmtId="0" fontId="0" fillId="0" borderId="0" xfId="0" applyAlignment="1">
      <alignment horizontal="center" vertical="center" wrapText="1"/>
    </xf>
    <xf numFmtId="165" fontId="18" fillId="0" borderId="62" xfId="0" applyNumberFormat="1" applyFont="1" applyBorder="1" applyAlignment="1">
      <alignment horizontal="center" vertical="center"/>
    </xf>
    <xf numFmtId="0" fontId="18" fillId="0" borderId="21" xfId="0" applyFont="1" applyBorder="1" applyAlignment="1">
      <alignment horizontal="center" vertical="center" wrapText="1"/>
    </xf>
    <xf numFmtId="0" fontId="18" fillId="0" borderId="57" xfId="0" applyFont="1" applyBorder="1" applyAlignment="1">
      <alignment horizontal="center" vertical="center" wrapText="1"/>
    </xf>
    <xf numFmtId="0" fontId="1" fillId="0" borderId="49" xfId="0" applyFont="1" applyBorder="1" applyAlignment="1">
      <alignment horizontal="center" vertical="center" wrapText="1"/>
    </xf>
    <xf numFmtId="0" fontId="1" fillId="0" borderId="55" xfId="0" applyFont="1" applyBorder="1" applyAlignment="1">
      <alignment horizontal="center" vertical="center" wrapText="1"/>
    </xf>
    <xf numFmtId="0" fontId="1" fillId="0" borderId="52" xfId="0" applyFont="1" applyBorder="1" applyAlignment="1">
      <alignment horizontal="center" vertical="center"/>
    </xf>
    <xf numFmtId="1" fontId="0" fillId="0" borderId="54" xfId="0" applyNumberFormat="1" applyBorder="1" applyAlignment="1">
      <alignment horizontal="center" vertical="center"/>
    </xf>
    <xf numFmtId="0" fontId="1" fillId="0" borderId="39" xfId="0" applyFont="1" applyBorder="1" applyAlignment="1">
      <alignment horizontal="center" vertical="center"/>
    </xf>
    <xf numFmtId="1" fontId="0" fillId="0" borderId="45" xfId="0" applyNumberFormat="1" applyBorder="1" applyAlignment="1">
      <alignment horizontal="center" vertical="center"/>
    </xf>
    <xf numFmtId="0" fontId="1" fillId="0" borderId="49" xfId="0" applyFont="1" applyBorder="1" applyAlignment="1">
      <alignment horizontal="center" vertical="center"/>
    </xf>
    <xf numFmtId="0" fontId="26" fillId="0" borderId="55" xfId="0" applyFont="1" applyBorder="1" applyAlignment="1">
      <alignment horizontal="center" vertical="center" wrapText="1"/>
    </xf>
    <xf numFmtId="1" fontId="1" fillId="0" borderId="54" xfId="0" applyNumberFormat="1" applyFont="1" applyBorder="1" applyAlignment="1">
      <alignment horizontal="center" vertical="center"/>
    </xf>
    <xf numFmtId="1" fontId="1" fillId="0" borderId="45" xfId="0" applyNumberFormat="1" applyFont="1" applyBorder="1" applyAlignment="1">
      <alignment horizontal="center" vertical="center"/>
    </xf>
    <xf numFmtId="1" fontId="1" fillId="0" borderId="55" xfId="0" applyNumberFormat="1" applyFont="1" applyBorder="1" applyAlignment="1">
      <alignment horizontal="center" vertical="center"/>
    </xf>
    <xf numFmtId="0" fontId="1" fillId="0" borderId="59" xfId="0" applyFont="1" applyBorder="1" applyAlignment="1">
      <alignment horizontal="center" vertical="center" wrapText="1"/>
    </xf>
    <xf numFmtId="0" fontId="1" fillId="0" borderId="67" xfId="0" applyFont="1" applyBorder="1" applyAlignment="1">
      <alignment horizontal="center" vertical="center" wrapText="1"/>
    </xf>
    <xf numFmtId="0" fontId="0" fillId="0" borderId="52" xfId="0" applyBorder="1" applyAlignment="1">
      <alignment horizontal="center" vertical="center"/>
    </xf>
    <xf numFmtId="0" fontId="0" fillId="0" borderId="39" xfId="0" applyBorder="1" applyAlignment="1">
      <alignment horizontal="center" vertical="center"/>
    </xf>
    <xf numFmtId="0" fontId="26" fillId="0" borderId="60" xfId="0" applyFont="1" applyBorder="1" applyAlignment="1">
      <alignment horizontal="center" vertical="center" wrapText="1"/>
    </xf>
    <xf numFmtId="1" fontId="1" fillId="0" borderId="58" xfId="0" applyNumberFormat="1" applyFont="1" applyBorder="1" applyAlignment="1">
      <alignment horizontal="center" vertical="center"/>
    </xf>
    <xf numFmtId="1" fontId="1" fillId="0" borderId="2" xfId="0" applyNumberFormat="1" applyFont="1" applyBorder="1" applyAlignment="1">
      <alignment horizontal="center" vertical="center"/>
    </xf>
    <xf numFmtId="0" fontId="0" fillId="0" borderId="54" xfId="0" applyBorder="1" applyAlignment="1">
      <alignment horizontal="center" vertical="center"/>
    </xf>
    <xf numFmtId="0" fontId="0" fillId="0" borderId="45" xfId="0" applyBorder="1" applyAlignment="1">
      <alignment horizontal="center" vertical="center"/>
    </xf>
    <xf numFmtId="0" fontId="0" fillId="0" borderId="58" xfId="0" applyBorder="1" applyAlignment="1">
      <alignment horizontal="center" vertical="center"/>
    </xf>
    <xf numFmtId="0" fontId="0" fillId="0" borderId="2" xfId="0" applyBorder="1" applyAlignment="1">
      <alignment horizontal="center" vertical="center"/>
    </xf>
    <xf numFmtId="0" fontId="1" fillId="0" borderId="54" xfId="0" applyFont="1" applyBorder="1" applyAlignment="1">
      <alignment horizontal="center" vertical="center"/>
    </xf>
    <xf numFmtId="0" fontId="1" fillId="0" borderId="45" xfId="0" applyFont="1" applyBorder="1" applyAlignment="1">
      <alignment horizontal="center" vertical="center"/>
    </xf>
    <xf numFmtId="0" fontId="1" fillId="0" borderId="55" xfId="0" applyFont="1" applyBorder="1" applyAlignment="1">
      <alignment horizontal="center" vertical="center"/>
    </xf>
    <xf numFmtId="0" fontId="26" fillId="2" borderId="52" xfId="0" applyFont="1" applyFill="1" applyBorder="1" applyAlignment="1" applyProtection="1">
      <alignment horizontal="center" vertical="center" wrapText="1"/>
      <protection locked="0"/>
    </xf>
    <xf numFmtId="0" fontId="26" fillId="2" borderId="39" xfId="0" applyFont="1" applyFill="1" applyBorder="1" applyAlignment="1" applyProtection="1">
      <alignment horizontal="center" vertical="center" wrapText="1"/>
      <protection locked="0"/>
    </xf>
    <xf numFmtId="0" fontId="26" fillId="2" borderId="49" xfId="0" applyFont="1" applyFill="1" applyBorder="1" applyAlignment="1" applyProtection="1">
      <alignment horizontal="center" vertical="center" wrapText="1"/>
      <protection locked="0"/>
    </xf>
    <xf numFmtId="0" fontId="1" fillId="2" borderId="52" xfId="0" applyFont="1" applyFill="1" applyBorder="1" applyAlignment="1" applyProtection="1">
      <alignment horizontal="center" vertical="center"/>
      <protection locked="0"/>
    </xf>
    <xf numFmtId="0" fontId="1" fillId="2" borderId="39" xfId="0" applyFont="1" applyFill="1" applyBorder="1" applyAlignment="1" applyProtection="1">
      <alignment horizontal="center" vertical="center"/>
      <protection locked="0"/>
    </xf>
    <xf numFmtId="3" fontId="1" fillId="0" borderId="48" xfId="0" applyNumberFormat="1" applyFont="1" applyBorder="1" applyAlignment="1">
      <alignment horizontal="center" vertical="center"/>
    </xf>
    <xf numFmtId="3" fontId="1" fillId="0" borderId="41" xfId="0" applyNumberFormat="1" applyFont="1" applyBorder="1" applyAlignment="1">
      <alignment horizontal="center" vertical="center"/>
    </xf>
    <xf numFmtId="0" fontId="1" fillId="0" borderId="37" xfId="0" applyFont="1" applyBorder="1" applyAlignment="1">
      <alignment horizontal="center" vertical="center"/>
    </xf>
    <xf numFmtId="0" fontId="1" fillId="2" borderId="64" xfId="0" applyFont="1" applyFill="1" applyBorder="1" applyAlignment="1" applyProtection="1">
      <alignment horizontal="center" vertical="center"/>
      <protection locked="0"/>
    </xf>
    <xf numFmtId="0" fontId="18" fillId="0" borderId="37" xfId="0" applyFont="1" applyBorder="1" applyAlignment="1">
      <alignment horizontal="center" vertical="center"/>
    </xf>
    <xf numFmtId="0" fontId="1" fillId="2" borderId="64" xfId="0" applyFont="1" applyFill="1" applyBorder="1" applyAlignment="1" applyProtection="1">
      <alignment horizontal="center" vertical="center" wrapText="1"/>
      <protection locked="0"/>
    </xf>
    <xf numFmtId="1" fontId="2" fillId="0" borderId="12" xfId="0" applyNumberFormat="1" applyFont="1" applyBorder="1" applyAlignment="1">
      <alignment horizontal="center" vertical="center"/>
    </xf>
    <xf numFmtId="0" fontId="11" fillId="0" borderId="0" xfId="0" applyFont="1" applyAlignment="1">
      <alignment horizontal="right" vertical="center"/>
    </xf>
    <xf numFmtId="0" fontId="52" fillId="0" borderId="0" xfId="0" applyFont="1" applyAlignment="1">
      <alignment horizontal="right" vertical="center"/>
    </xf>
    <xf numFmtId="1" fontId="5" fillId="0" borderId="18" xfId="0" applyNumberFormat="1" applyFont="1" applyBorder="1" applyAlignment="1">
      <alignment horizontal="center" vertical="center"/>
    </xf>
    <xf numFmtId="1" fontId="23" fillId="0" borderId="48" xfId="0" applyNumberFormat="1" applyFont="1" applyBorder="1" applyAlignment="1">
      <alignment horizontal="center" vertical="center"/>
    </xf>
    <xf numFmtId="0" fontId="18" fillId="0" borderId="0" xfId="0" applyFont="1" applyAlignment="1">
      <alignment horizontal="center"/>
    </xf>
    <xf numFmtId="1" fontId="50" fillId="0" borderId="14" xfId="0" applyNumberFormat="1" applyFont="1" applyBorder="1" applyAlignment="1">
      <alignment horizontal="center" vertical="center"/>
    </xf>
    <xf numFmtId="1" fontId="50" fillId="0" borderId="18" xfId="0" applyNumberFormat="1" applyFont="1" applyBorder="1" applyAlignment="1">
      <alignment horizontal="center" vertical="center"/>
    </xf>
    <xf numFmtId="0" fontId="0" fillId="0" borderId="16" xfId="0" applyBorder="1" applyAlignment="1">
      <alignment horizontal="center" vertical="center"/>
    </xf>
    <xf numFmtId="0" fontId="0" fillId="0" borderId="28" xfId="0" applyBorder="1" applyAlignment="1">
      <alignment horizontal="center" vertical="center"/>
    </xf>
    <xf numFmtId="0" fontId="1" fillId="2" borderId="4" xfId="0" applyFont="1" applyFill="1" applyBorder="1" applyAlignment="1" applyProtection="1">
      <alignment horizontal="center" vertical="center"/>
      <protection locked="0"/>
    </xf>
    <xf numFmtId="0" fontId="1" fillId="3" borderId="4" xfId="0" applyFont="1" applyFill="1" applyBorder="1" applyAlignment="1" applyProtection="1">
      <alignment horizontal="center" vertical="center"/>
      <protection locked="0"/>
    </xf>
    <xf numFmtId="0" fontId="1" fillId="3" borderId="53" xfId="0" applyFont="1" applyFill="1" applyBorder="1" applyAlignment="1" applyProtection="1">
      <alignment horizontal="center" vertical="center"/>
      <protection locked="0"/>
    </xf>
    <xf numFmtId="0" fontId="1" fillId="2" borderId="53" xfId="0" applyFont="1" applyFill="1" applyBorder="1" applyAlignment="1" applyProtection="1">
      <alignment horizontal="center" vertical="center"/>
      <protection locked="0"/>
    </xf>
    <xf numFmtId="0" fontId="1" fillId="2" borderId="57" xfId="0" applyFont="1" applyFill="1" applyBorder="1" applyAlignment="1" applyProtection="1">
      <alignment horizontal="center" vertical="center"/>
      <protection locked="0"/>
    </xf>
    <xf numFmtId="0" fontId="1" fillId="3" borderId="3" xfId="0" applyFont="1" applyFill="1" applyBorder="1" applyAlignment="1" applyProtection="1">
      <alignment horizontal="center" vertical="center"/>
      <protection locked="0"/>
    </xf>
    <xf numFmtId="1" fontId="69" fillId="0" borderId="18" xfId="0" applyNumberFormat="1" applyFont="1" applyBorder="1" applyAlignment="1">
      <alignment horizontal="center" vertical="center"/>
    </xf>
    <xf numFmtId="1" fontId="70" fillId="0" borderId="18" xfId="0" applyNumberFormat="1" applyFont="1" applyBorder="1" applyAlignment="1">
      <alignment horizontal="center" vertical="center"/>
    </xf>
    <xf numFmtId="1" fontId="71" fillId="0" borderId="48" xfId="0" applyNumberFormat="1" applyFont="1" applyBorder="1" applyAlignment="1">
      <alignment horizontal="center" vertical="center"/>
    </xf>
    <xf numFmtId="1" fontId="50" fillId="0" borderId="0" xfId="0" applyNumberFormat="1" applyFont="1" applyAlignment="1">
      <alignment horizontal="center" vertical="center"/>
    </xf>
    <xf numFmtId="1" fontId="5" fillId="0" borderId="25" xfId="0" applyNumberFormat="1" applyFont="1" applyBorder="1" applyAlignment="1">
      <alignment horizontal="center" vertical="center"/>
    </xf>
    <xf numFmtId="0" fontId="43" fillId="0" borderId="72" xfId="0" applyFont="1" applyBorder="1" applyAlignment="1">
      <alignment horizontal="center"/>
    </xf>
    <xf numFmtId="1" fontId="11" fillId="0" borderId="1" xfId="0" applyNumberFormat="1" applyFont="1" applyBorder="1" applyAlignment="1">
      <alignment horizontal="center" vertical="center"/>
    </xf>
    <xf numFmtId="0" fontId="52" fillId="0" borderId="10" xfId="0" applyFont="1" applyBorder="1" applyAlignment="1">
      <alignment horizontal="right" vertical="center"/>
    </xf>
    <xf numFmtId="0" fontId="11" fillId="0" borderId="2" xfId="0" applyFont="1" applyBorder="1" applyAlignment="1">
      <alignment horizontal="right" vertical="center"/>
    </xf>
    <xf numFmtId="0" fontId="11" fillId="0" borderId="41" xfId="0" applyFont="1" applyBorder="1" applyAlignment="1">
      <alignment horizontal="center" vertical="center"/>
    </xf>
    <xf numFmtId="0" fontId="11" fillId="0" borderId="3" xfId="0" applyFont="1" applyBorder="1" applyAlignment="1">
      <alignment horizontal="right" vertical="center"/>
    </xf>
    <xf numFmtId="0" fontId="52" fillId="0" borderId="12" xfId="0" applyFont="1" applyBorder="1" applyAlignment="1">
      <alignment horizontal="right" vertical="center"/>
    </xf>
    <xf numFmtId="1" fontId="11" fillId="0" borderId="13" xfId="0" applyNumberFormat="1" applyFont="1" applyBorder="1" applyAlignment="1">
      <alignment horizontal="center" vertical="center"/>
    </xf>
    <xf numFmtId="1" fontId="50" fillId="0" borderId="5" xfId="0" applyNumberFormat="1" applyFont="1" applyBorder="1" applyAlignment="1">
      <alignment horizontal="center" vertical="center"/>
    </xf>
    <xf numFmtId="1" fontId="5" fillId="0" borderId="10" xfId="0" applyNumberFormat="1" applyFont="1" applyBorder="1" applyAlignment="1">
      <alignment horizontal="center" vertical="center"/>
    </xf>
    <xf numFmtId="0" fontId="68" fillId="0" borderId="41" xfId="0" applyFont="1" applyBorder="1" applyAlignment="1">
      <alignment horizontal="center" vertical="center"/>
    </xf>
    <xf numFmtId="0" fontId="52" fillId="0" borderId="25" xfId="0" applyFont="1" applyBorder="1" applyAlignment="1">
      <alignment horizontal="right" vertical="center"/>
    </xf>
    <xf numFmtId="1" fontId="5" fillId="0" borderId="13" xfId="0" applyNumberFormat="1" applyFont="1" applyBorder="1" applyAlignment="1">
      <alignment horizontal="center" vertical="center"/>
    </xf>
    <xf numFmtId="3" fontId="1" fillId="0" borderId="0" xfId="0" applyNumberFormat="1" applyFont="1" applyAlignment="1">
      <alignment horizontal="center" vertical="center"/>
    </xf>
    <xf numFmtId="3" fontId="2" fillId="0" borderId="0" xfId="0" applyNumberFormat="1" applyFont="1" applyAlignment="1">
      <alignment horizontal="center" vertical="center"/>
    </xf>
    <xf numFmtId="3" fontId="18" fillId="0" borderId="0" xfId="0" applyNumberFormat="1" applyFont="1" applyAlignment="1">
      <alignment horizontal="center" vertical="center"/>
    </xf>
    <xf numFmtId="3" fontId="1" fillId="0" borderId="16" xfId="0" applyNumberFormat="1" applyFont="1" applyBorder="1" applyAlignment="1">
      <alignment horizontal="center" vertical="center"/>
    </xf>
    <xf numFmtId="3" fontId="2" fillId="0" borderId="30" xfId="0" applyNumberFormat="1" applyFont="1" applyBorder="1" applyAlignment="1">
      <alignment horizontal="center" vertical="center"/>
    </xf>
    <xf numFmtId="3" fontId="1" fillId="0" borderId="39" xfId="0" applyNumberFormat="1" applyFont="1" applyBorder="1" applyAlignment="1">
      <alignment horizontal="center" vertical="center"/>
    </xf>
    <xf numFmtId="3" fontId="1" fillId="0" borderId="49" xfId="0" applyNumberFormat="1" applyFont="1" applyBorder="1" applyAlignment="1">
      <alignment horizontal="center" vertical="center"/>
    </xf>
    <xf numFmtId="3" fontId="1" fillId="0" borderId="55" xfId="0" applyNumberFormat="1" applyFont="1" applyBorder="1" applyAlignment="1">
      <alignment horizontal="center" vertical="center"/>
    </xf>
    <xf numFmtId="1" fontId="2" fillId="0" borderId="73" xfId="0" applyNumberFormat="1" applyFont="1" applyBorder="1" applyAlignment="1">
      <alignment horizontal="center" vertical="center"/>
    </xf>
    <xf numFmtId="3" fontId="18" fillId="0" borderId="55" xfId="0" applyNumberFormat="1" applyFont="1" applyBorder="1" applyAlignment="1">
      <alignment horizontal="center" vertical="center" wrapText="1"/>
    </xf>
    <xf numFmtId="3" fontId="2" fillId="0" borderId="65" xfId="0" applyNumberFormat="1" applyFont="1" applyBorder="1" applyAlignment="1">
      <alignment horizontal="center" vertical="center" wrapText="1"/>
    </xf>
    <xf numFmtId="0" fontId="1" fillId="0" borderId="28" xfId="0" applyFont="1" applyBorder="1" applyAlignment="1">
      <alignment horizontal="right" vertical="center"/>
    </xf>
    <xf numFmtId="3" fontId="2" fillId="0" borderId="49" xfId="0" applyNumberFormat="1" applyFont="1" applyBorder="1" applyAlignment="1">
      <alignment horizontal="center" vertical="center" wrapText="1"/>
    </xf>
    <xf numFmtId="0" fontId="68" fillId="0" borderId="0" xfId="0" applyFont="1" applyAlignment="1">
      <alignment horizontal="center" vertical="center" wrapText="1"/>
    </xf>
    <xf numFmtId="0" fontId="71" fillId="0" borderId="0" xfId="0" applyFont="1" applyAlignment="1">
      <alignment horizontal="center" vertical="center"/>
    </xf>
    <xf numFmtId="0" fontId="73" fillId="0" borderId="0" xfId="0" applyFont="1" applyAlignment="1">
      <alignment horizontal="center" vertical="center" wrapText="1"/>
    </xf>
    <xf numFmtId="0" fontId="73" fillId="0" borderId="0" xfId="0" applyFont="1" applyAlignment="1">
      <alignment horizontal="center" vertical="center"/>
    </xf>
    <xf numFmtId="0" fontId="3" fillId="2" borderId="52" xfId="0" applyFont="1" applyFill="1" applyBorder="1" applyAlignment="1" applyProtection="1">
      <alignment horizontal="center" vertical="center"/>
      <protection locked="0"/>
    </xf>
    <xf numFmtId="0" fontId="3" fillId="2" borderId="39" xfId="0" applyFont="1" applyFill="1" applyBorder="1" applyAlignment="1" applyProtection="1">
      <alignment horizontal="center" vertical="center"/>
      <protection locked="0"/>
    </xf>
    <xf numFmtId="0" fontId="3" fillId="2" borderId="53" xfId="0" applyFont="1" applyFill="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3" fontId="1" fillId="0" borderId="38" xfId="0" applyNumberFormat="1" applyFont="1" applyBorder="1" applyAlignment="1">
      <alignment horizontal="center" vertical="center"/>
    </xf>
    <xf numFmtId="0" fontId="0" fillId="0" borderId="27" xfId="0" applyBorder="1" applyAlignment="1">
      <alignment horizontal="center" vertical="center"/>
    </xf>
    <xf numFmtId="1" fontId="0" fillId="0" borderId="52" xfId="0" applyNumberFormat="1" applyBorder="1" applyAlignment="1">
      <alignment horizontal="center" vertical="center"/>
    </xf>
    <xf numFmtId="1" fontId="0" fillId="0" borderId="64" xfId="0" applyNumberFormat="1" applyBorder="1" applyAlignment="1">
      <alignment horizontal="center" vertical="center"/>
    </xf>
    <xf numFmtId="1" fontId="0" fillId="0" borderId="39" xfId="0" applyNumberFormat="1" applyBorder="1" applyAlignment="1">
      <alignment horizontal="center" vertical="center"/>
    </xf>
    <xf numFmtId="3" fontId="18" fillId="0" borderId="60" xfId="0" applyNumberFormat="1" applyFont="1" applyBorder="1" applyAlignment="1">
      <alignment horizontal="center" vertical="center" wrapText="1"/>
    </xf>
    <xf numFmtId="0" fontId="2" fillId="0" borderId="19" xfId="0" applyFont="1" applyBorder="1" applyAlignment="1">
      <alignment horizontal="center" vertical="center" wrapText="1"/>
    </xf>
    <xf numFmtId="3" fontId="2" fillId="0" borderId="20" xfId="0" applyNumberFormat="1" applyFont="1" applyBorder="1" applyAlignment="1">
      <alignment horizontal="center" vertical="center"/>
    </xf>
    <xf numFmtId="0" fontId="0" fillId="0" borderId="18" xfId="0" applyBorder="1" applyAlignment="1">
      <alignment horizontal="center" vertical="center"/>
    </xf>
    <xf numFmtId="3" fontId="1" fillId="0" borderId="73" xfId="0" applyNumberFormat="1" applyFont="1" applyBorder="1" applyAlignment="1">
      <alignment horizontal="center" vertical="center"/>
    </xf>
    <xf numFmtId="3" fontId="2" fillId="0" borderId="60" xfId="0" applyNumberFormat="1" applyFont="1" applyBorder="1" applyAlignment="1">
      <alignment horizontal="center" vertical="center" wrapText="1"/>
    </xf>
    <xf numFmtId="3" fontId="2" fillId="0" borderId="22" xfId="0" applyNumberFormat="1" applyFont="1" applyBorder="1" applyAlignment="1">
      <alignment horizontal="center" vertical="center"/>
    </xf>
    <xf numFmtId="0" fontId="5" fillId="0" borderId="45" xfId="0" applyFont="1" applyBorder="1" applyAlignment="1">
      <alignment horizontal="center" vertical="center"/>
    </xf>
    <xf numFmtId="0" fontId="5" fillId="0" borderId="72" xfId="0" applyFont="1" applyBorder="1" applyAlignment="1">
      <alignment horizontal="center" vertical="center"/>
    </xf>
    <xf numFmtId="3" fontId="1" fillId="0" borderId="64" xfId="0" applyNumberFormat="1" applyFont="1" applyBorder="1" applyAlignment="1">
      <alignment horizontal="center" vertical="center"/>
    </xf>
    <xf numFmtId="0" fontId="5" fillId="0" borderId="37" xfId="0" applyFont="1" applyBorder="1" applyAlignment="1">
      <alignment horizontal="center" vertical="center"/>
    </xf>
    <xf numFmtId="0" fontId="39" fillId="3" borderId="54" xfId="0" applyFont="1" applyFill="1" applyBorder="1" applyAlignment="1" applyProtection="1">
      <alignment vertical="center"/>
      <protection locked="0"/>
    </xf>
    <xf numFmtId="0" fontId="39" fillId="3" borderId="18" xfId="0" applyFont="1" applyFill="1" applyBorder="1" applyAlignment="1" applyProtection="1">
      <alignment vertical="center"/>
      <protection locked="0"/>
    </xf>
    <xf numFmtId="0" fontId="39" fillId="3" borderId="46" xfId="0" applyFont="1" applyFill="1" applyBorder="1" applyAlignment="1" applyProtection="1">
      <alignment vertical="center"/>
      <protection locked="0"/>
    </xf>
    <xf numFmtId="0" fontId="74" fillId="0" borderId="0" xfId="0" applyFont="1" applyAlignment="1">
      <alignment horizontal="right" vertical="center" wrapText="1"/>
    </xf>
    <xf numFmtId="0" fontId="40" fillId="0" borderId="0" xfId="0" applyFont="1" applyAlignment="1">
      <alignment horizontal="center" vertical="center"/>
    </xf>
    <xf numFmtId="0" fontId="57" fillId="0" borderId="0" xfId="0" applyFont="1" applyAlignment="1">
      <alignment horizontal="center" vertical="center" wrapText="1"/>
    </xf>
    <xf numFmtId="1" fontId="11" fillId="0" borderId="0" xfId="0" applyNumberFormat="1" applyFont="1" applyAlignment="1">
      <alignment horizontal="center" vertical="center"/>
    </xf>
    <xf numFmtId="0" fontId="11" fillId="0" borderId="0" xfId="0" applyFont="1" applyAlignment="1">
      <alignment horizontal="center" vertical="center"/>
    </xf>
    <xf numFmtId="0" fontId="18" fillId="0" borderId="0" xfId="0" applyFont="1" applyAlignment="1">
      <alignment horizontal="center" vertical="center" wrapText="1"/>
    </xf>
    <xf numFmtId="0" fontId="21" fillId="0" borderId="0" xfId="0" applyFont="1" applyAlignment="1">
      <alignment horizontal="center" vertical="center" wrapText="1"/>
    </xf>
    <xf numFmtId="0" fontId="0" fillId="0" borderId="2" xfId="0" applyBorder="1" applyAlignment="1">
      <alignment horizontal="center" vertical="center" wrapText="1"/>
    </xf>
    <xf numFmtId="1" fontId="0" fillId="0" borderId="11" xfId="0" applyNumberFormat="1" applyBorder="1" applyAlignment="1">
      <alignment horizontal="center" vertical="center" wrapText="1"/>
    </xf>
    <xf numFmtId="1" fontId="0" fillId="0" borderId="8" xfId="0" applyNumberFormat="1" applyBorder="1" applyAlignment="1">
      <alignment horizontal="center" vertical="center" wrapText="1"/>
    </xf>
    <xf numFmtId="0" fontId="51" fillId="0" borderId="0" xfId="0" applyFont="1" applyAlignment="1">
      <alignment horizontal="center" vertical="center" wrapText="1"/>
    </xf>
    <xf numFmtId="1" fontId="51" fillId="0" borderId="11" xfId="0" applyNumberFormat="1" applyFont="1" applyBorder="1" applyAlignment="1">
      <alignment horizontal="center" vertical="center" wrapText="1"/>
    </xf>
    <xf numFmtId="1" fontId="51" fillId="0" borderId="0" xfId="0" applyNumberFormat="1" applyFont="1" applyAlignment="1">
      <alignment horizontal="center" vertical="center" wrapText="1"/>
    </xf>
    <xf numFmtId="1" fontId="51" fillId="0" borderId="12" xfId="0" applyNumberFormat="1" applyFont="1" applyBorder="1" applyAlignment="1">
      <alignment horizontal="center" vertical="center" wrapText="1"/>
    </xf>
    <xf numFmtId="1" fontId="21" fillId="0" borderId="6" xfId="0" applyNumberFormat="1" applyFont="1" applyBorder="1" applyAlignment="1">
      <alignment horizontal="center" vertical="center" wrapText="1"/>
    </xf>
    <xf numFmtId="1" fontId="21" fillId="0" borderId="9" xfId="0" applyNumberFormat="1" applyFont="1" applyBorder="1" applyAlignment="1">
      <alignment horizontal="center" vertical="center" wrapText="1"/>
    </xf>
    <xf numFmtId="1" fontId="21" fillId="0" borderId="7" xfId="0" applyNumberFormat="1" applyFont="1" applyBorder="1" applyAlignment="1">
      <alignment horizontal="center" vertical="center" wrapText="1"/>
    </xf>
    <xf numFmtId="0" fontId="32" fillId="0" borderId="2" xfId="0" applyFont="1" applyBorder="1" applyAlignment="1">
      <alignment horizontal="center" vertical="center" wrapText="1"/>
    </xf>
    <xf numFmtId="0" fontId="32" fillId="0" borderId="7" xfId="0" applyFont="1" applyBorder="1" applyAlignment="1">
      <alignment horizontal="center" vertical="center" wrapText="1"/>
    </xf>
    <xf numFmtId="0" fontId="6" fillId="0" borderId="11" xfId="0" applyFont="1" applyBorder="1" applyAlignment="1">
      <alignment horizontal="center" vertical="center" wrapText="1"/>
    </xf>
    <xf numFmtId="0" fontId="18" fillId="0" borderId="8" xfId="0" applyFont="1" applyBorder="1" applyAlignment="1">
      <alignment horizontal="center" vertical="center" wrapText="1"/>
    </xf>
    <xf numFmtId="1" fontId="78" fillId="0" borderId="18" xfId="0" applyNumberFormat="1" applyFont="1" applyBorder="1" applyAlignment="1">
      <alignment horizontal="center" vertical="center"/>
    </xf>
    <xf numFmtId="0" fontId="81" fillId="0" borderId="0" xfId="0" applyFont="1" applyAlignment="1">
      <alignment horizontal="left" vertical="center" wrapText="1"/>
    </xf>
    <xf numFmtId="0" fontId="0" fillId="0" borderId="7" xfId="0" applyBorder="1" applyAlignment="1">
      <alignment horizontal="center" vertical="center" wrapText="1"/>
    </xf>
    <xf numFmtId="1" fontId="15" fillId="0" borderId="3" xfId="0" applyNumberFormat="1" applyFont="1" applyBorder="1" applyAlignment="1">
      <alignment horizontal="center" vertical="center" wrapText="1"/>
    </xf>
    <xf numFmtId="1" fontId="50" fillId="0" borderId="3" xfId="0" applyNumberFormat="1" applyFont="1" applyBorder="1" applyAlignment="1">
      <alignment horizontal="center" vertical="center" wrapText="1"/>
    </xf>
    <xf numFmtId="1" fontId="5" fillId="0" borderId="4" xfId="0" applyNumberFormat="1" applyFont="1" applyBorder="1" applyAlignment="1">
      <alignment horizontal="center" vertical="center" wrapText="1"/>
    </xf>
    <xf numFmtId="1" fontId="0" fillId="0" borderId="0" xfId="0" applyNumberFormat="1" applyAlignment="1">
      <alignment horizontal="center" vertical="center" wrapText="1"/>
    </xf>
    <xf numFmtId="1" fontId="1"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0" fontId="3" fillId="0" borderId="1" xfId="0" applyFont="1" applyBorder="1" applyAlignment="1">
      <alignment horizontal="center" vertical="center" wrapText="1"/>
    </xf>
    <xf numFmtId="1" fontId="5" fillId="0" borderId="3" xfId="0" applyNumberFormat="1" applyFont="1" applyBorder="1" applyAlignment="1">
      <alignment horizontal="center" vertical="center" wrapText="1"/>
    </xf>
    <xf numFmtId="0" fontId="18" fillId="0" borderId="11" xfId="0" applyFont="1" applyBorder="1" applyAlignment="1">
      <alignment horizontal="center" vertical="center" wrapText="1"/>
    </xf>
    <xf numFmtId="0" fontId="21" fillId="9" borderId="11" xfId="0" applyFont="1" applyFill="1" applyBorder="1" applyAlignment="1" applyProtection="1">
      <alignment horizontal="center" vertical="center" wrapText="1"/>
      <protection locked="0"/>
    </xf>
    <xf numFmtId="0" fontId="51" fillId="9" borderId="11" xfId="0" applyFont="1" applyFill="1" applyBorder="1" applyAlignment="1" applyProtection="1">
      <alignment horizontal="center" vertical="center" wrapText="1"/>
      <protection locked="0"/>
    </xf>
    <xf numFmtId="0" fontId="18" fillId="3" borderId="13" xfId="0" applyFont="1" applyFill="1" applyBorder="1" applyAlignment="1" applyProtection="1">
      <alignment horizontal="center" vertical="center" wrapText="1"/>
      <protection locked="0"/>
    </xf>
    <xf numFmtId="1" fontId="0" fillId="3" borderId="14" xfId="0" applyNumberFormat="1" applyFill="1" applyBorder="1" applyAlignment="1" applyProtection="1">
      <alignment horizontal="center" vertical="center" wrapText="1"/>
      <protection locked="0"/>
    </xf>
    <xf numFmtId="1" fontId="1" fillId="3" borderId="14" xfId="0" applyNumberFormat="1" applyFont="1" applyFill="1" applyBorder="1" applyAlignment="1" applyProtection="1">
      <alignment horizontal="center" vertical="center" wrapText="1"/>
      <protection locked="0"/>
    </xf>
    <xf numFmtId="1" fontId="5" fillId="3" borderId="25" xfId="0" applyNumberFormat="1" applyFont="1" applyFill="1" applyBorder="1" applyAlignment="1" applyProtection="1">
      <alignment horizontal="center" vertical="center" wrapText="1"/>
      <protection locked="0"/>
    </xf>
    <xf numFmtId="0" fontId="23" fillId="9" borderId="8" xfId="0" applyFont="1" applyFill="1" applyBorder="1" applyAlignment="1" applyProtection="1">
      <alignment horizontal="center" vertical="center" wrapText="1"/>
      <protection locked="0"/>
    </xf>
    <xf numFmtId="0" fontId="0" fillId="3" borderId="14" xfId="0" applyFill="1" applyBorder="1" applyAlignment="1" applyProtection="1">
      <alignment horizontal="center" vertical="center" wrapText="1"/>
      <protection locked="0"/>
    </xf>
    <xf numFmtId="0" fontId="0" fillId="3" borderId="25" xfId="0" applyFill="1" applyBorder="1" applyAlignment="1" applyProtection="1">
      <alignment horizontal="center" vertical="center" wrapText="1"/>
      <protection locked="0"/>
    </xf>
    <xf numFmtId="1" fontId="5" fillId="3" borderId="14" xfId="0" applyNumberFormat="1"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1" fontId="0" fillId="3" borderId="0" xfId="0" applyNumberFormat="1" applyFill="1" applyAlignment="1" applyProtection="1">
      <alignment horizontal="center" vertical="center" wrapText="1"/>
      <protection locked="0"/>
    </xf>
    <xf numFmtId="0" fontId="0" fillId="0" borderId="6" xfId="0" applyBorder="1" applyAlignment="1">
      <alignment horizontal="center" vertical="center" wrapText="1"/>
    </xf>
    <xf numFmtId="0" fontId="0" fillId="0" borderId="9" xfId="0" applyBorder="1" applyAlignment="1">
      <alignment horizontal="center" vertical="center" wrapText="1"/>
    </xf>
    <xf numFmtId="0" fontId="0" fillId="0" borderId="3" xfId="0" applyBorder="1" applyAlignment="1">
      <alignment horizontal="center" vertical="center" wrapText="1"/>
    </xf>
    <xf numFmtId="0" fontId="18" fillId="0" borderId="3" xfId="0" applyFont="1" applyBorder="1" applyAlignment="1">
      <alignment horizontal="center" vertical="center" wrapText="1"/>
    </xf>
    <xf numFmtId="0" fontId="6" fillId="0" borderId="3" xfId="0" applyFont="1" applyBorder="1" applyAlignment="1">
      <alignment horizontal="center" vertical="center" wrapText="1"/>
    </xf>
    <xf numFmtId="1" fontId="0" fillId="0" borderId="12" xfId="0" applyNumberFormat="1" applyBorder="1" applyAlignment="1">
      <alignment horizontal="center" vertical="center" wrapText="1"/>
    </xf>
    <xf numFmtId="1" fontId="0" fillId="0" borderId="10" xfId="0" applyNumberFormat="1" applyBorder="1" applyAlignment="1">
      <alignment horizontal="center" vertical="center" wrapText="1"/>
    </xf>
    <xf numFmtId="1" fontId="0" fillId="0" borderId="5" xfId="0" applyNumberFormat="1" applyBorder="1" applyAlignment="1">
      <alignment horizontal="center" vertical="center" wrapText="1"/>
    </xf>
    <xf numFmtId="0" fontId="1" fillId="0" borderId="7" xfId="0" applyFont="1" applyBorder="1" applyAlignment="1">
      <alignment horizontal="center" vertical="center" wrapText="1"/>
    </xf>
    <xf numFmtId="0" fontId="15" fillId="9" borderId="11" xfId="0" applyFont="1" applyFill="1" applyBorder="1" applyAlignment="1" applyProtection="1">
      <alignment horizontal="center" vertical="center" wrapText="1"/>
      <protection locked="0"/>
    </xf>
    <xf numFmtId="0" fontId="50" fillId="9" borderId="11" xfId="0" applyFont="1" applyFill="1" applyBorder="1" applyAlignment="1" applyProtection="1">
      <alignment horizontal="center" vertical="center" wrapText="1"/>
      <protection locked="0"/>
    </xf>
    <xf numFmtId="0" fontId="5" fillId="9" borderId="11" xfId="0" applyFont="1" applyFill="1" applyBorder="1" applyAlignment="1" applyProtection="1">
      <alignment horizontal="center" vertical="center" wrapText="1"/>
      <protection locked="0"/>
    </xf>
    <xf numFmtId="0" fontId="5" fillId="9" borderId="8" xfId="0" applyFont="1" applyFill="1" applyBorder="1" applyAlignment="1" applyProtection="1">
      <alignment horizontal="center" vertical="center" wrapText="1"/>
      <protection locked="0"/>
    </xf>
    <xf numFmtId="0" fontId="18" fillId="0" borderId="4"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6" xfId="0" applyFont="1" applyBorder="1" applyAlignment="1">
      <alignment horizontal="center" vertical="center" wrapText="1"/>
    </xf>
    <xf numFmtId="0" fontId="0" fillId="9" borderId="0" xfId="0" applyFill="1" applyAlignment="1" applyProtection="1">
      <alignment horizontal="center" vertical="center" wrapText="1"/>
      <protection locked="0"/>
    </xf>
    <xf numFmtId="1" fontId="15" fillId="0" borderId="0" xfId="0" applyNumberFormat="1" applyFont="1" applyAlignment="1">
      <alignment horizontal="center" vertical="center" wrapText="1"/>
    </xf>
    <xf numFmtId="1" fontId="50" fillId="0" borderId="0" xfId="0" applyNumberFormat="1" applyFont="1" applyAlignment="1">
      <alignment horizontal="center" vertical="center" wrapText="1"/>
    </xf>
    <xf numFmtId="0" fontId="68" fillId="0" borderId="14" xfId="0" applyFont="1" applyBorder="1" applyAlignment="1">
      <alignment horizontal="center" vertical="center"/>
    </xf>
    <xf numFmtId="49" fontId="69" fillId="0" borderId="0" xfId="0" applyNumberFormat="1" applyFont="1" applyAlignment="1">
      <alignment horizontal="right"/>
    </xf>
    <xf numFmtId="0" fontId="86" fillId="0" borderId="0" xfId="0" applyFont="1" applyAlignment="1">
      <alignment horizontal="center" vertical="center"/>
    </xf>
    <xf numFmtId="0" fontId="2" fillId="0" borderId="17" xfId="0" applyFont="1" applyBorder="1" applyAlignment="1">
      <alignment horizontal="center" vertical="center" wrapText="1"/>
    </xf>
    <xf numFmtId="3" fontId="1" fillId="0" borderId="68" xfId="0" applyNumberFormat="1" applyFont="1" applyBorder="1" applyAlignment="1">
      <alignment horizontal="center" vertical="center"/>
    </xf>
    <xf numFmtId="3" fontId="1" fillId="0" borderId="3" xfId="0" applyNumberFormat="1" applyFont="1" applyBorder="1" applyAlignment="1">
      <alignment horizontal="center" vertical="center"/>
    </xf>
    <xf numFmtId="1" fontId="2" fillId="0" borderId="31" xfId="0" applyNumberFormat="1" applyFont="1" applyBorder="1" applyAlignment="1">
      <alignment horizontal="center" vertical="center"/>
    </xf>
    <xf numFmtId="1" fontId="2" fillId="0" borderId="32" xfId="0" applyNumberFormat="1" applyFont="1" applyBorder="1" applyAlignment="1">
      <alignment horizontal="center" vertical="center"/>
    </xf>
    <xf numFmtId="166" fontId="2" fillId="0" borderId="31" xfId="0" applyNumberFormat="1" applyFont="1" applyBorder="1" applyAlignment="1">
      <alignment horizontal="center" vertical="center"/>
    </xf>
    <xf numFmtId="166" fontId="2" fillId="0" borderId="32" xfId="0" applyNumberFormat="1"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wrapText="1"/>
    </xf>
    <xf numFmtId="1" fontId="0" fillId="0" borderId="5" xfId="0" applyNumberFormat="1" applyBorder="1" applyAlignment="1">
      <alignment horizontal="center" vertical="center"/>
    </xf>
    <xf numFmtId="1" fontId="86" fillId="0" borderId="0" xfId="0" applyNumberFormat="1" applyFont="1" applyAlignment="1">
      <alignment horizontal="center" vertical="center"/>
    </xf>
    <xf numFmtId="1" fontId="27" fillId="0" borderId="0" xfId="0" applyNumberFormat="1" applyFont="1" applyAlignment="1">
      <alignment horizontal="center" vertical="center"/>
    </xf>
    <xf numFmtId="2" fontId="27" fillId="0" borderId="0" xfId="0" applyNumberFormat="1" applyFont="1" applyAlignment="1">
      <alignment horizontal="center" vertical="center"/>
    </xf>
    <xf numFmtId="1" fontId="34" fillId="0" borderId="0" xfId="0" applyNumberFormat="1" applyFont="1" applyAlignment="1">
      <alignment horizontal="center" vertical="center"/>
    </xf>
    <xf numFmtId="2" fontId="34" fillId="0" borderId="0" xfId="0" applyNumberFormat="1" applyFont="1" applyAlignment="1">
      <alignment horizontal="center" vertical="center"/>
    </xf>
    <xf numFmtId="2" fontId="39" fillId="0" borderId="0" xfId="0" applyNumberFormat="1" applyFont="1" applyAlignment="1">
      <alignment horizontal="center" vertical="center"/>
    </xf>
    <xf numFmtId="0" fontId="89" fillId="0" borderId="0" xfId="0" applyFont="1" applyAlignment="1">
      <alignment horizontal="center" vertical="center"/>
    </xf>
    <xf numFmtId="0" fontId="90" fillId="0" borderId="0" xfId="0" applyFont="1" applyAlignment="1">
      <alignment horizontal="center" vertical="center"/>
    </xf>
    <xf numFmtId="0" fontId="5" fillId="2" borderId="31" xfId="0" applyFont="1" applyFill="1" applyBorder="1" applyAlignment="1" applyProtection="1">
      <alignment horizontal="center" vertical="center" wrapText="1"/>
      <protection locked="0"/>
    </xf>
    <xf numFmtId="0" fontId="5" fillId="2" borderId="32" xfId="0" applyFont="1" applyFill="1" applyBorder="1" applyAlignment="1" applyProtection="1">
      <alignment horizontal="center" vertical="center" wrapText="1"/>
      <protection locked="0"/>
    </xf>
    <xf numFmtId="0" fontId="1" fillId="0" borderId="67" xfId="0" applyFont="1" applyBorder="1" applyAlignment="1">
      <alignment horizontal="center" vertical="center"/>
    </xf>
    <xf numFmtId="0" fontId="26" fillId="2" borderId="4" xfId="0" applyFont="1" applyFill="1" applyBorder="1" applyAlignment="1" applyProtection="1">
      <alignment horizontal="center" vertical="center" wrapText="1"/>
      <protection locked="0"/>
    </xf>
    <xf numFmtId="0" fontId="26" fillId="2" borderId="57" xfId="0" applyFont="1" applyFill="1" applyBorder="1" applyAlignment="1" applyProtection="1">
      <alignment horizontal="center" vertical="center" wrapText="1"/>
      <protection locked="0"/>
    </xf>
    <xf numFmtId="0" fontId="26" fillId="2" borderId="53" xfId="0" applyFont="1" applyFill="1" applyBorder="1" applyAlignment="1" applyProtection="1">
      <alignment horizontal="center" vertical="center" wrapText="1"/>
      <protection locked="0"/>
    </xf>
    <xf numFmtId="0" fontId="1" fillId="0" borderId="58" xfId="0" applyFont="1" applyBorder="1" applyAlignment="1">
      <alignment horizontal="center" vertical="center"/>
    </xf>
    <xf numFmtId="0" fontId="1" fillId="0" borderId="2" xfId="0" applyFont="1" applyBorder="1" applyAlignment="1">
      <alignment horizontal="center" vertical="center"/>
    </xf>
    <xf numFmtId="0" fontId="1" fillId="0" borderId="60" xfId="0" applyFont="1" applyBorder="1" applyAlignment="1">
      <alignment horizontal="center" vertical="center"/>
    </xf>
    <xf numFmtId="3" fontId="1" fillId="0" borderId="2" xfId="0" applyNumberFormat="1" applyFont="1" applyBorder="1" applyAlignment="1">
      <alignment horizontal="center" vertical="center"/>
    </xf>
    <xf numFmtId="3" fontId="1" fillId="0" borderId="60" xfId="0" applyNumberFormat="1" applyFont="1" applyBorder="1" applyAlignment="1">
      <alignment horizontal="center" vertical="center"/>
    </xf>
    <xf numFmtId="0" fontId="23" fillId="0" borderId="0" xfId="0" applyFont="1" applyAlignment="1">
      <alignment horizontal="left" vertical="center" wrapText="1"/>
    </xf>
    <xf numFmtId="0" fontId="26" fillId="0" borderId="0" xfId="0" applyFont="1" applyAlignment="1">
      <alignment horizontal="center" vertical="center" wrapText="1"/>
    </xf>
    <xf numFmtId="0" fontId="27" fillId="3" borderId="14" xfId="0" applyFont="1" applyFill="1" applyBorder="1" applyAlignment="1" applyProtection="1">
      <alignment horizontal="center" vertical="center"/>
      <protection locked="0"/>
    </xf>
    <xf numFmtId="49" fontId="0" fillId="0" borderId="0" xfId="0" applyNumberFormat="1" applyAlignment="1">
      <alignment horizontal="center" vertical="center" wrapText="1"/>
    </xf>
    <xf numFmtId="49" fontId="0" fillId="0" borderId="0" xfId="0" applyNumberFormat="1" applyAlignment="1">
      <alignment horizontal="left" vertical="center" wrapText="1"/>
    </xf>
    <xf numFmtId="44" fontId="1" fillId="0" borderId="13" xfId="2" applyFont="1" applyBorder="1" applyAlignment="1" applyProtection="1">
      <alignment horizontal="center" vertical="center"/>
    </xf>
    <xf numFmtId="0" fontId="1" fillId="0" borderId="14" xfId="0" applyFont="1" applyBorder="1" applyAlignment="1">
      <alignment horizontal="center" vertical="center"/>
    </xf>
    <xf numFmtId="0" fontId="1" fillId="0" borderId="25" xfId="0" applyFont="1" applyBorder="1" applyAlignment="1">
      <alignment horizontal="center"/>
    </xf>
    <xf numFmtId="0" fontId="1" fillId="0" borderId="13" xfId="0" applyFont="1" applyBorder="1" applyAlignment="1">
      <alignment vertical="center"/>
    </xf>
    <xf numFmtId="0" fontId="27" fillId="3" borderId="25" xfId="0" applyFont="1" applyFill="1" applyBorder="1" applyAlignment="1" applyProtection="1">
      <alignment horizontal="center" vertical="center"/>
      <protection locked="0"/>
    </xf>
    <xf numFmtId="0" fontId="27" fillId="3" borderId="13" xfId="0" applyFont="1" applyFill="1" applyBorder="1" applyAlignment="1" applyProtection="1">
      <alignment horizontal="center" vertical="center"/>
      <protection locked="0"/>
    </xf>
    <xf numFmtId="44" fontId="1" fillId="0" borderId="0" xfId="2" applyFont="1" applyBorder="1" applyAlignment="1" applyProtection="1">
      <alignment horizontal="left" vertical="center"/>
      <protection locked="0"/>
    </xf>
    <xf numFmtId="1" fontId="1" fillId="0" borderId="12" xfId="0" applyNumberFormat="1" applyFont="1" applyBorder="1" applyAlignment="1">
      <alignment horizontal="center" vertical="center" wrapText="1"/>
    </xf>
    <xf numFmtId="44" fontId="1" fillId="0" borderId="13" xfId="2" applyFont="1" applyBorder="1" applyAlignment="1">
      <alignment vertical="center"/>
    </xf>
    <xf numFmtId="44" fontId="6" fillId="0" borderId="13" xfId="2" applyFont="1" applyBorder="1" applyAlignment="1">
      <alignment horizontal="left" vertical="center"/>
    </xf>
    <xf numFmtId="0" fontId="36" fillId="0" borderId="13" xfId="0" applyFont="1" applyBorder="1" applyAlignment="1">
      <alignment horizontal="right" vertical="center"/>
    </xf>
    <xf numFmtId="44" fontId="1" fillId="0" borderId="14" xfId="2" applyFont="1" applyBorder="1" applyAlignment="1">
      <alignment horizontal="right" vertical="center"/>
    </xf>
    <xf numFmtId="0" fontId="18" fillId="0" borderId="25" xfId="0" applyFont="1" applyBorder="1" applyAlignment="1">
      <alignment horizontal="right" vertical="center"/>
    </xf>
    <xf numFmtId="0" fontId="5" fillId="0" borderId="6" xfId="0" applyFont="1" applyBorder="1" applyAlignment="1">
      <alignment horizontal="right"/>
    </xf>
    <xf numFmtId="0" fontId="92" fillId="0" borderId="6" xfId="0" applyFont="1" applyBorder="1" applyAlignment="1">
      <alignment horizontal="right" vertical="center"/>
    </xf>
    <xf numFmtId="0" fontId="23" fillId="0" borderId="6" xfId="0" applyFont="1" applyBorder="1" applyAlignment="1">
      <alignment horizontal="right"/>
    </xf>
    <xf numFmtId="0" fontId="1" fillId="2" borderId="53" xfId="0" applyFont="1" applyFill="1" applyBorder="1" applyAlignment="1" applyProtection="1">
      <alignment horizontal="center" vertical="center" wrapText="1"/>
      <protection locked="0"/>
    </xf>
    <xf numFmtId="0" fontId="1" fillId="2" borderId="4" xfId="0" applyFont="1" applyFill="1" applyBorder="1" applyAlignment="1" applyProtection="1">
      <alignment horizontal="center" vertical="center" wrapText="1"/>
      <protection locked="0"/>
    </xf>
    <xf numFmtId="0" fontId="71" fillId="0" borderId="0" xfId="0" applyFont="1" applyAlignment="1">
      <alignment horizontal="center" vertical="center" wrapText="1"/>
    </xf>
    <xf numFmtId="1" fontId="1" fillId="0" borderId="10" xfId="0" applyNumberFormat="1" applyFont="1" applyBorder="1" applyAlignment="1">
      <alignment horizontal="center" vertical="center" wrapText="1"/>
    </xf>
    <xf numFmtId="0" fontId="13" fillId="0" borderId="5" xfId="0" applyFont="1" applyBorder="1" applyAlignment="1">
      <alignment horizontal="center" vertical="center" wrapText="1"/>
    </xf>
    <xf numFmtId="0" fontId="26" fillId="0" borderId="6" xfId="0" applyFont="1" applyBorder="1" applyAlignment="1">
      <alignment vertical="center"/>
    </xf>
    <xf numFmtId="0" fontId="26" fillId="0" borderId="0" xfId="0" applyFont="1" applyAlignment="1">
      <alignment vertical="center"/>
    </xf>
    <xf numFmtId="0" fontId="93" fillId="0" borderId="0" xfId="0" applyFont="1" applyAlignment="1">
      <alignment horizontal="center" vertical="center"/>
    </xf>
    <xf numFmtId="0" fontId="6" fillId="0" borderId="2" xfId="0" applyFont="1" applyBorder="1" applyAlignment="1">
      <alignment horizontal="right" vertical="center" wrapText="1"/>
    </xf>
    <xf numFmtId="0" fontId="94" fillId="0" borderId="0" xfId="0" applyFont="1" applyAlignment="1">
      <alignment horizontal="center" vertical="center"/>
    </xf>
    <xf numFmtId="1" fontId="39" fillId="0" borderId="0" xfId="0" applyNumberFormat="1" applyFont="1" applyAlignment="1">
      <alignment horizontal="center" vertical="center"/>
    </xf>
    <xf numFmtId="2" fontId="86" fillId="0" borderId="0" xfId="0" applyNumberFormat="1" applyFont="1" applyAlignment="1">
      <alignment horizontal="center" vertical="center"/>
    </xf>
    <xf numFmtId="0" fontId="95" fillId="0" borderId="0" xfId="0" applyFont="1" applyAlignment="1">
      <alignment horizontal="center" vertical="center"/>
    </xf>
    <xf numFmtId="0" fontId="87" fillId="0" borderId="0" xfId="0" applyFont="1" applyAlignment="1">
      <alignment horizontal="center" vertical="center"/>
    </xf>
    <xf numFmtId="0" fontId="1" fillId="2" borderId="10" xfId="0" applyFont="1" applyFill="1" applyBorder="1" applyAlignment="1" applyProtection="1">
      <alignment horizontal="center" vertical="center" wrapText="1"/>
      <protection locked="0"/>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39" fillId="0" borderId="20" xfId="0" applyFont="1" applyBorder="1" applyAlignment="1">
      <alignment horizontal="center" vertical="center"/>
    </xf>
    <xf numFmtId="0" fontId="18" fillId="0" borderId="39" xfId="0" applyFont="1" applyBorder="1" applyAlignment="1">
      <alignment horizontal="center" vertical="center" wrapText="1"/>
    </xf>
    <xf numFmtId="0" fontId="2" fillId="0" borderId="72" xfId="0" applyFont="1" applyBorder="1" applyAlignment="1">
      <alignment horizontal="center" vertical="center" wrapText="1"/>
    </xf>
    <xf numFmtId="0" fontId="47" fillId="0" borderId="0" xfId="0" applyFont="1" applyAlignment="1">
      <alignment horizontal="center" vertical="center" wrapText="1"/>
    </xf>
    <xf numFmtId="0" fontId="2" fillId="0" borderId="20" xfId="0" applyFont="1" applyBorder="1" applyAlignment="1">
      <alignment horizontal="center" vertical="center" wrapText="1"/>
    </xf>
    <xf numFmtId="0" fontId="0" fillId="10" borderId="63" xfId="0" applyFill="1" applyBorder="1" applyAlignment="1">
      <alignment horizontal="center" vertical="center" wrapText="1"/>
    </xf>
    <xf numFmtId="0" fontId="15" fillId="0" borderId="4" xfId="0" applyFont="1" applyBorder="1" applyAlignment="1">
      <alignment horizontal="center" vertical="center"/>
    </xf>
    <xf numFmtId="0" fontId="39" fillId="0" borderId="0" xfId="0" applyFont="1"/>
    <xf numFmtId="0" fontId="39" fillId="0" borderId="0" xfId="0" applyFont="1" applyAlignment="1">
      <alignment horizontal="right" vertical="center"/>
    </xf>
    <xf numFmtId="0" fontId="9" fillId="0" borderId="0" xfId="0" applyFont="1" applyAlignment="1">
      <alignment horizontal="center" vertical="center" wrapText="1"/>
    </xf>
    <xf numFmtId="0" fontId="18" fillId="0" borderId="49" xfId="0" applyFont="1" applyBorder="1" applyAlignment="1">
      <alignment horizontal="center" vertical="center" wrapText="1"/>
    </xf>
    <xf numFmtId="0" fontId="0" fillId="0" borderId="0" xfId="0" applyAlignment="1">
      <alignment vertical="center" wrapText="1"/>
    </xf>
    <xf numFmtId="1" fontId="23" fillId="0" borderId="44" xfId="0" applyNumberFormat="1" applyFont="1" applyBorder="1" applyAlignment="1">
      <alignment horizontal="center" vertical="center"/>
    </xf>
    <xf numFmtId="49" fontId="1" fillId="0" borderId="0" xfId="0" applyNumberFormat="1" applyFont="1" applyAlignment="1">
      <alignment horizontal="right" vertical="center"/>
    </xf>
    <xf numFmtId="0" fontId="27" fillId="0" borderId="13" xfId="0" applyFont="1" applyBorder="1" applyAlignment="1">
      <alignment horizontal="center" vertical="center"/>
    </xf>
    <xf numFmtId="0" fontId="27" fillId="0" borderId="1" xfId="0" applyFont="1" applyBorder="1" applyAlignment="1">
      <alignment horizontal="left" vertical="center" wrapText="1"/>
    </xf>
    <xf numFmtId="0" fontId="26" fillId="0" borderId="6" xfId="0" applyFont="1" applyBorder="1" applyAlignment="1">
      <alignment horizontal="center" vertical="center" wrapText="1"/>
    </xf>
    <xf numFmtId="0" fontId="18" fillId="0" borderId="0" xfId="0" applyFont="1" applyAlignment="1">
      <alignment vertical="center"/>
    </xf>
    <xf numFmtId="165" fontId="0" fillId="0" borderId="0" xfId="0" applyNumberFormat="1" applyAlignment="1">
      <alignment horizontal="center" vertical="center"/>
    </xf>
    <xf numFmtId="165" fontId="0" fillId="0" borderId="12" xfId="0" applyNumberFormat="1" applyBorder="1" applyAlignment="1">
      <alignment horizontal="center" vertical="center"/>
    </xf>
    <xf numFmtId="0" fontId="18" fillId="0" borderId="25" xfId="0" applyFont="1" applyBorder="1" applyAlignment="1">
      <alignment horizontal="center" vertical="center" wrapText="1"/>
    </xf>
    <xf numFmtId="0" fontId="18" fillId="0" borderId="7" xfId="0" applyFont="1" applyBorder="1" applyAlignment="1">
      <alignment horizontal="center" vertical="center" wrapText="1"/>
    </xf>
    <xf numFmtId="0" fontId="27" fillId="0" borderId="25" xfId="0" applyFont="1" applyBorder="1" applyAlignment="1">
      <alignment horizontal="left" vertical="center" wrapText="1"/>
    </xf>
    <xf numFmtId="2" fontId="27" fillId="0" borderId="1" xfId="0" applyNumberFormat="1" applyFont="1" applyBorder="1" applyAlignment="1">
      <alignment horizontal="center" vertical="center"/>
    </xf>
    <xf numFmtId="0" fontId="1" fillId="0" borderId="1" xfId="0" applyFont="1" applyBorder="1"/>
    <xf numFmtId="0" fontId="0" fillId="0" borderId="25" xfId="0" applyBorder="1" applyAlignment="1">
      <alignment horizontal="left" vertical="center"/>
    </xf>
    <xf numFmtId="0" fontId="27" fillId="0" borderId="1" xfId="0" applyFont="1" applyBorder="1" applyAlignment="1">
      <alignment vertical="center"/>
    </xf>
    <xf numFmtId="0" fontId="34" fillId="0" borderId="1" xfId="0" applyFont="1" applyBorder="1"/>
    <xf numFmtId="0" fontId="40" fillId="0" borderId="0" xfId="0" applyFont="1"/>
    <xf numFmtId="0" fontId="27" fillId="0" borderId="1" xfId="0" applyFont="1" applyBorder="1" applyAlignment="1">
      <alignment horizontal="left"/>
    </xf>
    <xf numFmtId="0" fontId="27" fillId="0" borderId="1" xfId="0" applyFont="1" applyBorder="1" applyAlignment="1">
      <alignment horizontal="left" vertical="center"/>
    </xf>
    <xf numFmtId="0" fontId="23" fillId="0" borderId="0" xfId="0" applyFont="1" applyAlignment="1">
      <alignment vertical="center"/>
    </xf>
    <xf numFmtId="0" fontId="99" fillId="0" borderId="0" xfId="0" applyFont="1" applyAlignment="1">
      <alignment vertical="center"/>
    </xf>
    <xf numFmtId="0" fontId="1" fillId="0" borderId="1" xfId="0" applyFont="1" applyBorder="1" applyAlignment="1">
      <alignment horizontal="center" vertical="center" wrapText="1"/>
    </xf>
    <xf numFmtId="165" fontId="23" fillId="0" borderId="1" xfId="0" applyNumberFormat="1" applyFont="1" applyBorder="1" applyAlignment="1">
      <alignment horizontal="center" vertical="center"/>
    </xf>
    <xf numFmtId="0" fontId="0" fillId="0" borderId="12" xfId="0" applyBorder="1" applyAlignment="1">
      <alignment vertical="center"/>
    </xf>
    <xf numFmtId="0" fontId="5" fillId="0" borderId="1" xfId="0" applyFont="1" applyBorder="1" applyAlignment="1">
      <alignment horizontal="center" vertical="center" wrapText="1"/>
    </xf>
    <xf numFmtId="0" fontId="0" fillId="12" borderId="1" xfId="0" applyFill="1" applyBorder="1" applyAlignment="1" applyProtection="1">
      <alignment horizontal="center" vertical="center"/>
      <protection locked="0"/>
    </xf>
    <xf numFmtId="1" fontId="0" fillId="0" borderId="1" xfId="0" applyNumberFormat="1" applyBorder="1" applyAlignment="1">
      <alignment horizontal="center" vertical="center"/>
    </xf>
    <xf numFmtId="165" fontId="0" fillId="0" borderId="1" xfId="0" applyNumberFormat="1" applyBorder="1" applyAlignment="1">
      <alignment horizontal="center" vertical="center"/>
    </xf>
    <xf numFmtId="0" fontId="98" fillId="0" borderId="0" xfId="0" applyFont="1" applyAlignment="1">
      <alignment vertical="center"/>
    </xf>
    <xf numFmtId="165" fontId="5" fillId="0" borderId="1" xfId="0" applyNumberFormat="1" applyFont="1" applyBorder="1" applyAlignment="1">
      <alignment horizontal="center" vertical="center"/>
    </xf>
    <xf numFmtId="165" fontId="0" fillId="0" borderId="0" xfId="0" applyNumberFormat="1" applyAlignment="1">
      <alignment vertical="center"/>
    </xf>
    <xf numFmtId="0" fontId="100" fillId="0" borderId="0" xfId="0" applyFont="1" applyAlignment="1">
      <alignment horizontal="center" vertical="center"/>
    </xf>
    <xf numFmtId="0" fontId="5" fillId="0" borderId="0" xfId="0" applyFont="1" applyAlignment="1">
      <alignment horizontal="center" vertical="center"/>
    </xf>
    <xf numFmtId="165" fontId="1" fillId="0" borderId="0" xfId="0" applyNumberFormat="1" applyFont="1" applyAlignment="1">
      <alignment vertical="center"/>
    </xf>
    <xf numFmtId="0" fontId="101" fillId="0" borderId="0" xfId="0" applyFont="1" applyAlignment="1">
      <alignment vertical="center"/>
    </xf>
    <xf numFmtId="165" fontId="1" fillId="0" borderId="1" xfId="0" applyNumberFormat="1" applyFont="1" applyBorder="1" applyAlignment="1">
      <alignment horizontal="center" vertical="center"/>
    </xf>
    <xf numFmtId="14" fontId="0" fillId="5" borderId="1" xfId="0" applyNumberFormat="1" applyFill="1" applyBorder="1" applyAlignment="1" applyProtection="1">
      <alignment horizontal="center" vertical="center"/>
      <protection locked="0"/>
    </xf>
    <xf numFmtId="165" fontId="0" fillId="5" borderId="1" xfId="0" applyNumberFormat="1" applyFill="1" applyBorder="1" applyAlignment="1" applyProtection="1">
      <alignment horizontal="center" vertical="center"/>
      <protection locked="0"/>
    </xf>
    <xf numFmtId="0" fontId="39"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48" fillId="0" borderId="0" xfId="0" applyFont="1" applyAlignment="1">
      <alignment vertical="center"/>
    </xf>
    <xf numFmtId="0" fontId="32" fillId="0" borderId="0" xfId="0" applyFont="1" applyAlignment="1">
      <alignment horizontal="center" vertical="center" wrapText="1"/>
    </xf>
    <xf numFmtId="0" fontId="0" fillId="4" borderId="6" xfId="0" applyFill="1" applyBorder="1" applyAlignment="1">
      <alignment horizontal="center" vertical="center"/>
    </xf>
    <xf numFmtId="0" fontId="0" fillId="3" borderId="6" xfId="0" applyFill="1" applyBorder="1" applyAlignment="1" applyProtection="1">
      <alignment horizontal="center" vertical="center"/>
      <protection locked="0"/>
    </xf>
    <xf numFmtId="0" fontId="1" fillId="0" borderId="0" xfId="0" applyFont="1" applyAlignment="1">
      <alignment horizontal="left" vertical="center" wrapText="1"/>
    </xf>
    <xf numFmtId="0" fontId="26" fillId="0" borderId="17" xfId="0" applyFont="1" applyBorder="1" applyAlignment="1">
      <alignment horizontal="center" vertical="center" wrapText="1"/>
    </xf>
    <xf numFmtId="0" fontId="0" fillId="0" borderId="8" xfId="0" applyBorder="1" applyAlignment="1">
      <alignment horizontal="center" vertical="center"/>
    </xf>
    <xf numFmtId="0" fontId="0" fillId="0" borderId="5" xfId="0" applyBorder="1" applyAlignment="1">
      <alignment horizontal="center" vertical="center" wrapText="1"/>
    </xf>
    <xf numFmtId="0" fontId="0" fillId="0" borderId="10" xfId="0" applyBorder="1" applyAlignment="1">
      <alignment horizontal="center" vertical="center" wrapText="1"/>
    </xf>
    <xf numFmtId="0" fontId="26" fillId="0" borderId="31" xfId="0" applyFont="1" applyBorder="1" applyAlignment="1">
      <alignment horizontal="center" vertical="center" wrapText="1"/>
    </xf>
    <xf numFmtId="0" fontId="15" fillId="0" borderId="11" xfId="0" applyFont="1" applyBorder="1" applyAlignment="1">
      <alignment horizontal="center" vertical="center" wrapText="1"/>
    </xf>
    <xf numFmtId="0" fontId="0" fillId="0" borderId="12" xfId="0" applyBorder="1" applyAlignment="1">
      <alignment horizontal="center" vertical="center" wrapText="1"/>
    </xf>
    <xf numFmtId="0" fontId="0" fillId="0" borderId="25" xfId="0" applyBorder="1" applyAlignment="1">
      <alignment horizontal="center" vertical="center"/>
    </xf>
    <xf numFmtId="49" fontId="1" fillId="0" borderId="0" xfId="0" applyNumberFormat="1" applyFont="1" applyAlignment="1">
      <alignment horizontal="left" vertical="center" wrapText="1"/>
    </xf>
    <xf numFmtId="49" fontId="5" fillId="0" borderId="0" xfId="0" applyNumberFormat="1" applyFont="1" applyAlignment="1">
      <alignment horizontal="right" vertical="center"/>
    </xf>
    <xf numFmtId="49" fontId="5" fillId="0" borderId="0" xfId="0" applyNumberFormat="1" applyFont="1" applyAlignment="1">
      <alignment horizontal="left" vertical="center" wrapText="1"/>
    </xf>
    <xf numFmtId="0" fontId="0" fillId="3" borderId="6" xfId="0" applyFill="1" applyBorder="1" applyAlignment="1" applyProtection="1">
      <alignment horizontal="center"/>
      <protection locked="0"/>
    </xf>
    <xf numFmtId="0" fontId="0" fillId="0" borderId="11" xfId="0" applyBorder="1" applyAlignment="1">
      <alignment horizontal="center"/>
    </xf>
    <xf numFmtId="0" fontId="0" fillId="0" borderId="6" xfId="0" applyBorder="1" applyAlignment="1">
      <alignment horizontal="center"/>
    </xf>
    <xf numFmtId="0" fontId="0" fillId="0" borderId="5" xfId="0" applyBorder="1" applyAlignment="1">
      <alignment horizontal="center"/>
    </xf>
    <xf numFmtId="1" fontId="1" fillId="0" borderId="9" xfId="0" applyNumberFormat="1" applyFont="1" applyBorder="1" applyAlignment="1">
      <alignment horizontal="center" vertical="center" wrapText="1"/>
    </xf>
    <xf numFmtId="0" fontId="1" fillId="0" borderId="5" xfId="0" applyFont="1" applyBorder="1" applyAlignment="1">
      <alignment horizontal="center" vertical="center" wrapText="1"/>
    </xf>
    <xf numFmtId="3" fontId="2" fillId="0" borderId="0" xfId="0" applyNumberFormat="1" applyFont="1" applyAlignment="1">
      <alignment horizontal="right" vertical="center"/>
    </xf>
    <xf numFmtId="3" fontId="18" fillId="0" borderId="0" xfId="0" applyNumberFormat="1" applyFont="1" applyAlignment="1">
      <alignment horizontal="center" vertical="center" wrapText="1"/>
    </xf>
    <xf numFmtId="0" fontId="3" fillId="0" borderId="0" xfId="0" applyFont="1" applyAlignment="1">
      <alignment vertical="center" wrapText="1"/>
    </xf>
    <xf numFmtId="3" fontId="22" fillId="0" borderId="0" xfId="0" applyNumberFormat="1" applyFont="1" applyAlignment="1">
      <alignment horizontal="center" vertical="center"/>
    </xf>
    <xf numFmtId="3" fontId="54" fillId="0" borderId="0" xfId="0" applyNumberFormat="1" applyFont="1" applyAlignment="1">
      <alignment horizontal="center" vertical="center"/>
    </xf>
    <xf numFmtId="0" fontId="1" fillId="0" borderId="8" xfId="0" applyFont="1" applyBorder="1" applyAlignment="1">
      <alignment horizontal="center" vertical="center"/>
    </xf>
    <xf numFmtId="0" fontId="18" fillId="0" borderId="10" xfId="0" applyFont="1" applyBorder="1" applyAlignment="1">
      <alignment horizontal="center" vertical="center"/>
    </xf>
    <xf numFmtId="0" fontId="92" fillId="0" borderId="9" xfId="0" applyFont="1" applyBorder="1" applyAlignment="1">
      <alignment horizontal="right" vertical="center"/>
    </xf>
    <xf numFmtId="0" fontId="92" fillId="0" borderId="0" xfId="0" applyFont="1" applyAlignment="1">
      <alignment horizontal="right" vertical="center"/>
    </xf>
    <xf numFmtId="0" fontId="23" fillId="0" borderId="0" xfId="0" applyFont="1" applyAlignment="1">
      <alignment horizontal="left" vertical="center"/>
    </xf>
    <xf numFmtId="2" fontId="0" fillId="0" borderId="0" xfId="0" applyNumberFormat="1" applyAlignment="1">
      <alignment horizontal="center" vertical="center"/>
    </xf>
    <xf numFmtId="0" fontId="71" fillId="0" borderId="0" xfId="0" applyFont="1" applyAlignment="1">
      <alignment horizontal="left" vertical="center" wrapText="1"/>
    </xf>
    <xf numFmtId="0" fontId="93" fillId="0" borderId="0" xfId="0" applyFont="1" applyAlignment="1">
      <alignment horizontal="left" vertical="center" wrapText="1"/>
    </xf>
    <xf numFmtId="0" fontId="93" fillId="0" borderId="0" xfId="0" applyFont="1" applyAlignment="1">
      <alignment horizontal="left" vertical="center"/>
    </xf>
    <xf numFmtId="0" fontId="73" fillId="0" borderId="0" xfId="0" applyFont="1" applyAlignment="1">
      <alignment horizontal="left" vertical="center" wrapText="1"/>
    </xf>
    <xf numFmtId="2" fontId="23" fillId="0" borderId="0" xfId="0" applyNumberFormat="1" applyFont="1" applyAlignment="1">
      <alignment horizontal="center"/>
    </xf>
    <xf numFmtId="2" fontId="11" fillId="0" borderId="0" xfId="0" applyNumberFormat="1" applyFont="1" applyAlignment="1">
      <alignment horizontal="center" vertical="center"/>
    </xf>
    <xf numFmtId="2" fontId="23" fillId="0" borderId="0" xfId="0" applyNumberFormat="1" applyFont="1" applyAlignment="1">
      <alignment horizontal="center" vertical="center"/>
    </xf>
    <xf numFmtId="2" fontId="23" fillId="0" borderId="0" xfId="0" applyNumberFormat="1" applyFont="1" applyAlignment="1">
      <alignment horizontal="right"/>
    </xf>
    <xf numFmtId="2" fontId="5" fillId="0" borderId="0" xfId="0" applyNumberFormat="1" applyFont="1" applyAlignment="1">
      <alignment horizontal="right"/>
    </xf>
    <xf numFmtId="2" fontId="23" fillId="0" borderId="0" xfId="0" applyNumberFormat="1" applyFont="1"/>
    <xf numFmtId="0" fontId="21" fillId="0" borderId="0" xfId="0" applyFont="1" applyAlignment="1">
      <alignment horizontal="left" vertical="center" wrapText="1"/>
    </xf>
    <xf numFmtId="0" fontId="27" fillId="0" borderId="1" xfId="0" applyFont="1" applyBorder="1" applyAlignment="1">
      <alignment horizontal="center" vertical="center" wrapText="1"/>
    </xf>
    <xf numFmtId="0" fontId="0" fillId="0" borderId="1" xfId="0" applyBorder="1" applyAlignment="1">
      <alignment horizontal="center" vertical="center" wrapText="1"/>
    </xf>
    <xf numFmtId="0" fontId="1" fillId="0" borderId="16" xfId="0" applyFont="1" applyBorder="1" applyAlignment="1">
      <alignment horizontal="left" vertical="center"/>
    </xf>
    <xf numFmtId="1" fontId="2" fillId="0" borderId="40" xfId="0" applyNumberFormat="1" applyFont="1" applyBorder="1" applyAlignment="1">
      <alignment horizontal="center" vertical="center"/>
    </xf>
    <xf numFmtId="1" fontId="2" fillId="0" borderId="47" xfId="0" applyNumberFormat="1" applyFont="1" applyBorder="1" applyAlignment="1">
      <alignment horizontal="center" vertical="center"/>
    </xf>
    <xf numFmtId="3" fontId="1" fillId="0" borderId="58" xfId="0" applyNumberFormat="1" applyFont="1" applyBorder="1" applyAlignment="1">
      <alignment horizontal="center" vertical="center"/>
    </xf>
    <xf numFmtId="3" fontId="1" fillId="0" borderId="52" xfId="0" applyNumberFormat="1" applyFont="1" applyBorder="1" applyAlignment="1">
      <alignment horizontal="center" vertical="center"/>
    </xf>
    <xf numFmtId="165" fontId="0" fillId="0" borderId="25" xfId="0" applyNumberFormat="1" applyBorder="1" applyAlignment="1">
      <alignment horizontal="center" vertical="center"/>
    </xf>
    <xf numFmtId="1" fontId="2" fillId="0" borderId="35" xfId="0" applyNumberFormat="1" applyFont="1" applyBorder="1" applyAlignment="1">
      <alignment horizontal="center" vertical="center"/>
    </xf>
    <xf numFmtId="3" fontId="1" fillId="0" borderId="33" xfId="0" applyNumberFormat="1" applyFont="1" applyBorder="1" applyAlignment="1">
      <alignment horizontal="center" vertical="center"/>
    </xf>
    <xf numFmtId="0" fontId="5" fillId="0" borderId="12" xfId="0" applyFont="1" applyBorder="1" applyAlignment="1">
      <alignment horizontal="center" vertical="center"/>
    </xf>
    <xf numFmtId="0" fontId="1" fillId="2" borderId="39"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5" fillId="0" borderId="11" xfId="0" applyFont="1" applyBorder="1" applyAlignment="1">
      <alignment horizontal="center" vertical="center"/>
    </xf>
    <xf numFmtId="165" fontId="0" fillId="0" borderId="11" xfId="0" applyNumberFormat="1" applyBorder="1" applyAlignment="1">
      <alignment horizontal="center" vertical="center"/>
    </xf>
    <xf numFmtId="0" fontId="5" fillId="0" borderId="3" xfId="0" applyFont="1" applyBorder="1" applyAlignment="1">
      <alignment horizontal="center" vertical="center"/>
    </xf>
    <xf numFmtId="165" fontId="0" fillId="0" borderId="3" xfId="0" applyNumberFormat="1" applyBorder="1" applyAlignment="1">
      <alignment horizontal="center" vertical="center"/>
    </xf>
    <xf numFmtId="0" fontId="18" fillId="0" borderId="55" xfId="0" applyFont="1" applyBorder="1" applyAlignment="1">
      <alignment horizontal="center" vertical="center"/>
    </xf>
    <xf numFmtId="0" fontId="27" fillId="0" borderId="1" xfId="0" applyFont="1" applyBorder="1" applyAlignment="1">
      <alignment horizontal="center" vertical="center"/>
    </xf>
    <xf numFmtId="0" fontId="27" fillId="0" borderId="13" xfId="0" applyFont="1" applyBorder="1" applyAlignment="1">
      <alignment horizontal="center" vertical="center" wrapText="1"/>
    </xf>
    <xf numFmtId="0" fontId="40" fillId="0" borderId="0" xfId="0" applyFont="1" applyAlignment="1">
      <alignment horizontal="center" vertical="center" wrapText="1"/>
    </xf>
    <xf numFmtId="20" fontId="0" fillId="0" borderId="0" xfId="0" applyNumberFormat="1" applyAlignment="1">
      <alignment horizontal="center" vertical="center"/>
    </xf>
    <xf numFmtId="0" fontId="3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0" fillId="0" borderId="1" xfId="0" applyBorder="1" applyAlignment="1">
      <alignment vertical="center" wrapText="1"/>
    </xf>
    <xf numFmtId="0" fontId="47" fillId="0" borderId="0" xfId="0" applyFont="1" applyAlignment="1">
      <alignment vertical="center" wrapText="1"/>
    </xf>
    <xf numFmtId="167" fontId="0" fillId="0" borderId="0" xfId="0" applyNumberFormat="1" applyAlignment="1">
      <alignment horizontal="center" vertical="center"/>
    </xf>
    <xf numFmtId="167" fontId="1" fillId="0" borderId="63" xfId="0" applyNumberFormat="1" applyFont="1" applyBorder="1" applyAlignment="1">
      <alignment horizontal="center" vertical="center"/>
    </xf>
    <xf numFmtId="167" fontId="1" fillId="0" borderId="55" xfId="0" applyNumberFormat="1" applyFont="1" applyBorder="1" applyAlignment="1">
      <alignment horizontal="center" vertical="center"/>
    </xf>
    <xf numFmtId="167" fontId="1" fillId="0" borderId="0" xfId="0" applyNumberFormat="1" applyFont="1" applyAlignment="1">
      <alignment horizontal="center" vertical="center"/>
    </xf>
    <xf numFmtId="165" fontId="0" fillId="0" borderId="45" xfId="0" applyNumberFormat="1" applyBorder="1" applyAlignment="1">
      <alignment horizontal="center" vertical="center"/>
    </xf>
    <xf numFmtId="0" fontId="26" fillId="0" borderId="1" xfId="0" applyFont="1" applyBorder="1" applyAlignment="1">
      <alignment horizontal="center" vertical="center" wrapText="1"/>
    </xf>
    <xf numFmtId="0" fontId="5" fillId="0" borderId="0" xfId="0" applyFont="1" applyAlignment="1">
      <alignment horizontal="center" vertical="center" wrapText="1"/>
    </xf>
    <xf numFmtId="1" fontId="32" fillId="0" borderId="1" xfId="0" applyNumberFormat="1" applyFont="1" applyBorder="1" applyAlignment="1">
      <alignment horizontal="center" vertical="center"/>
    </xf>
    <xf numFmtId="1" fontId="11" fillId="0" borderId="25" xfId="0" applyNumberFormat="1" applyFont="1" applyBorder="1" applyAlignment="1">
      <alignment horizontal="center" vertical="center"/>
    </xf>
    <xf numFmtId="1" fontId="36" fillId="0" borderId="1" xfId="0" applyNumberFormat="1" applyFont="1" applyBorder="1" applyAlignment="1">
      <alignment horizontal="center" vertical="center"/>
    </xf>
    <xf numFmtId="0" fontId="103" fillId="0" borderId="1" xfId="0" applyFont="1" applyBorder="1" applyAlignment="1">
      <alignment horizontal="center" vertical="center" wrapText="1"/>
    </xf>
    <xf numFmtId="0" fontId="102" fillId="0" borderId="1" xfId="0" applyFont="1" applyBorder="1" applyAlignment="1">
      <alignment horizontal="center" vertical="center" wrapText="1"/>
    </xf>
    <xf numFmtId="3" fontId="2" fillId="0" borderId="0" xfId="0" applyNumberFormat="1" applyFont="1" applyAlignment="1">
      <alignment horizontal="left" vertical="center"/>
    </xf>
    <xf numFmtId="0" fontId="18" fillId="0" borderId="20" xfId="0" applyFont="1" applyBorder="1" applyAlignment="1">
      <alignment horizontal="center" vertical="center" wrapText="1"/>
    </xf>
    <xf numFmtId="1" fontId="102" fillId="0" borderId="1" xfId="0" applyNumberFormat="1" applyFont="1" applyBorder="1" applyAlignment="1">
      <alignment horizontal="center" vertical="center"/>
    </xf>
    <xf numFmtId="165" fontId="27" fillId="0" borderId="0" xfId="0" applyNumberFormat="1" applyFont="1" applyAlignment="1">
      <alignment horizontal="center" vertical="center"/>
    </xf>
    <xf numFmtId="165" fontId="18" fillId="0" borderId="0" xfId="0" applyNumberFormat="1" applyFont="1" applyAlignment="1">
      <alignment horizontal="center" vertical="center"/>
    </xf>
    <xf numFmtId="165" fontId="18" fillId="0" borderId="12" xfId="0" applyNumberFormat="1" applyFont="1" applyBorder="1" applyAlignment="1">
      <alignment horizontal="center" vertical="center"/>
    </xf>
    <xf numFmtId="165" fontId="18" fillId="0" borderId="3" xfId="0" applyNumberFormat="1" applyFont="1" applyBorder="1" applyAlignment="1">
      <alignment horizontal="center" vertical="center"/>
    </xf>
    <xf numFmtId="165" fontId="18" fillId="0" borderId="11" xfId="0" applyNumberFormat="1" applyFont="1" applyBorder="1" applyAlignment="1">
      <alignment horizontal="center" vertical="center"/>
    </xf>
    <xf numFmtId="0" fontId="32" fillId="0" borderId="1" xfId="0" applyFont="1" applyBorder="1" applyAlignment="1">
      <alignment horizontal="center" vertical="center"/>
    </xf>
    <xf numFmtId="0" fontId="11" fillId="0" borderId="1" xfId="0" applyFont="1" applyBorder="1" applyAlignment="1">
      <alignment horizontal="center" vertical="center" wrapText="1"/>
    </xf>
    <xf numFmtId="0" fontId="39" fillId="0" borderId="0" xfId="0" applyFont="1" applyAlignment="1">
      <alignment horizontal="center" vertical="center" wrapText="1"/>
    </xf>
    <xf numFmtId="0" fontId="1" fillId="0" borderId="19" xfId="0" applyFont="1" applyBorder="1" applyAlignment="1">
      <alignment horizontal="center" vertical="center"/>
    </xf>
    <xf numFmtId="0" fontId="0" fillId="0" borderId="20" xfId="0" applyBorder="1" applyAlignment="1">
      <alignment vertical="center"/>
    </xf>
    <xf numFmtId="0" fontId="1" fillId="0" borderId="20" xfId="0" applyFont="1" applyBorder="1" applyAlignment="1">
      <alignment horizontal="center" vertical="center"/>
    </xf>
    <xf numFmtId="0" fontId="27" fillId="0" borderId="20" xfId="0" applyFont="1" applyBorder="1" applyAlignment="1">
      <alignment horizontal="center" vertical="center"/>
    </xf>
    <xf numFmtId="0" fontId="27" fillId="0" borderId="46" xfId="0" applyFont="1" applyBorder="1" applyAlignment="1">
      <alignment horizontal="center" vertical="center"/>
    </xf>
    <xf numFmtId="0" fontId="3" fillId="0" borderId="0" xfId="0" applyFont="1" applyAlignment="1">
      <alignment horizontal="center"/>
    </xf>
    <xf numFmtId="0" fontId="0" fillId="0" borderId="1" xfId="0" applyBorder="1"/>
    <xf numFmtId="0" fontId="27" fillId="0" borderId="0" xfId="0" applyFont="1" applyAlignment="1">
      <alignment vertical="center" wrapText="1"/>
    </xf>
    <xf numFmtId="0" fontId="18" fillId="0" borderId="0" xfId="0" applyFont="1" applyAlignment="1">
      <alignment vertical="center" wrapText="1"/>
    </xf>
    <xf numFmtId="0" fontId="1" fillId="11" borderId="1" xfId="0" applyFont="1" applyFill="1" applyBorder="1" applyAlignment="1">
      <alignment horizontal="center" vertical="center"/>
    </xf>
    <xf numFmtId="0" fontId="91" fillId="11" borderId="1" xfId="0" applyFont="1" applyFill="1" applyBorder="1" applyAlignment="1">
      <alignment horizontal="center" vertical="center" wrapText="1"/>
    </xf>
    <xf numFmtId="0" fontId="32" fillId="0" borderId="0" xfId="0" applyFont="1" applyAlignment="1">
      <alignment horizontal="right" vertical="center"/>
    </xf>
    <xf numFmtId="167" fontId="18" fillId="0" borderId="0" xfId="0" applyNumberFormat="1" applyFont="1" applyAlignment="1">
      <alignment horizontal="center" vertical="center"/>
    </xf>
    <xf numFmtId="9" fontId="8" fillId="0" borderId="0" xfId="4" applyFont="1" applyBorder="1" applyAlignment="1">
      <alignment horizontal="center" vertical="center"/>
    </xf>
    <xf numFmtId="0" fontId="5" fillId="2" borderId="74" xfId="0" applyFont="1" applyFill="1" applyBorder="1" applyAlignment="1" applyProtection="1">
      <alignment horizontal="center" vertical="center" wrapText="1"/>
      <protection locked="0"/>
    </xf>
    <xf numFmtId="167" fontId="18" fillId="0" borderId="51" xfId="0" applyNumberFormat="1" applyFont="1" applyBorder="1" applyAlignment="1">
      <alignment horizontal="center" vertical="center"/>
    </xf>
    <xf numFmtId="0" fontId="1" fillId="0" borderId="27" xfId="0" applyFont="1" applyBorder="1" applyAlignment="1">
      <alignment vertical="center"/>
    </xf>
    <xf numFmtId="9" fontId="8" fillId="0" borderId="22" xfId="4" applyFont="1" applyBorder="1" applyAlignment="1">
      <alignment horizontal="center" vertical="center" wrapText="1"/>
    </xf>
    <xf numFmtId="9" fontId="8" fillId="0" borderId="23" xfId="4" applyFont="1" applyBorder="1" applyAlignment="1">
      <alignment horizontal="center" vertical="center"/>
    </xf>
    <xf numFmtId="0" fontId="1" fillId="0" borderId="23" xfId="0" applyFont="1" applyBorder="1" applyAlignment="1">
      <alignment horizontal="left" vertical="center" wrapText="1"/>
    </xf>
    <xf numFmtId="0" fontId="0" fillId="0" borderId="23" xfId="0" applyBorder="1" applyAlignment="1">
      <alignment vertical="center" wrapText="1"/>
    </xf>
    <xf numFmtId="1" fontId="1" fillId="0" borderId="24" xfId="0" applyNumberFormat="1" applyFont="1" applyBorder="1" applyAlignment="1">
      <alignment horizontal="right" vertical="center"/>
    </xf>
    <xf numFmtId="0" fontId="1" fillId="0" borderId="27" xfId="0" applyFont="1" applyBorder="1" applyAlignment="1">
      <alignment horizontal="left" vertical="center"/>
    </xf>
    <xf numFmtId="0" fontId="0" fillId="0" borderId="22" xfId="0" applyBorder="1" applyAlignment="1">
      <alignment horizontal="center" vertical="center"/>
    </xf>
    <xf numFmtId="0" fontId="1" fillId="0" borderId="23" xfId="0" applyFont="1" applyBorder="1" applyAlignment="1">
      <alignment horizontal="center" vertical="center"/>
    </xf>
    <xf numFmtId="165" fontId="1" fillId="0" borderId="0" xfId="0" applyNumberFormat="1" applyFont="1" applyAlignment="1">
      <alignment horizontal="center" vertical="center"/>
    </xf>
    <xf numFmtId="3" fontId="41" fillId="0" borderId="0" xfId="0" applyNumberFormat="1" applyFont="1" applyAlignment="1">
      <alignment horizontal="center" vertical="center"/>
    </xf>
    <xf numFmtId="0" fontId="27" fillId="0" borderId="0" xfId="0" applyFont="1" applyAlignment="1">
      <alignment horizontal="center"/>
    </xf>
    <xf numFmtId="2" fontId="27" fillId="0" borderId="0" xfId="0" applyNumberFormat="1" applyFont="1" applyAlignment="1">
      <alignment horizontal="center"/>
    </xf>
    <xf numFmtId="0" fontId="18" fillId="0" borderId="0" xfId="0" applyFont="1" applyAlignment="1">
      <alignment horizontal="center" vertical="top"/>
    </xf>
    <xf numFmtId="0" fontId="89" fillId="0" borderId="0" xfId="0" applyFont="1" applyAlignment="1">
      <alignment horizontal="center"/>
    </xf>
    <xf numFmtId="3" fontId="107" fillId="0" borderId="0" xfId="0" applyNumberFormat="1" applyFont="1" applyAlignment="1">
      <alignment horizontal="center" vertical="center"/>
    </xf>
    <xf numFmtId="0" fontId="42" fillId="0" borderId="0" xfId="0" applyFont="1" applyAlignment="1">
      <alignment horizontal="center"/>
    </xf>
    <xf numFmtId="0" fontId="107" fillId="0" borderId="0" xfId="0" applyFont="1" applyAlignment="1">
      <alignment horizontal="center"/>
    </xf>
    <xf numFmtId="165" fontId="18" fillId="0" borderId="0" xfId="0" applyNumberFormat="1" applyFont="1" applyAlignment="1">
      <alignment horizontal="center"/>
    </xf>
    <xf numFmtId="165" fontId="107" fillId="0" borderId="0" xfId="0" applyNumberFormat="1" applyFont="1" applyAlignment="1">
      <alignment horizontal="center"/>
    </xf>
    <xf numFmtId="1" fontId="27" fillId="0" borderId="0" xfId="0" applyNumberFormat="1" applyFont="1" applyAlignment="1">
      <alignment horizontal="center"/>
    </xf>
    <xf numFmtId="0" fontId="32" fillId="0" borderId="0" xfId="0" applyFont="1" applyAlignment="1">
      <alignment horizontal="center"/>
    </xf>
    <xf numFmtId="0" fontId="34" fillId="0" borderId="0" xfId="0" applyFont="1" applyAlignment="1">
      <alignment horizontal="center"/>
    </xf>
    <xf numFmtId="0" fontId="34" fillId="0" borderId="0" xfId="0" applyFont="1" applyAlignment="1">
      <alignment horizontal="center" wrapText="1"/>
    </xf>
    <xf numFmtId="170" fontId="34" fillId="0" borderId="0" xfId="1" applyNumberFormat="1" applyFont="1" applyFill="1" applyBorder="1" applyAlignment="1">
      <alignment horizontal="center" vertical="center"/>
    </xf>
    <xf numFmtId="1" fontId="34" fillId="0" borderId="0" xfId="0" applyNumberFormat="1" applyFont="1" applyAlignment="1">
      <alignment horizontal="center"/>
    </xf>
    <xf numFmtId="3" fontId="34" fillId="0" borderId="0" xfId="0" applyNumberFormat="1" applyFont="1" applyAlignment="1">
      <alignment horizontal="center" vertical="center"/>
    </xf>
    <xf numFmtId="0" fontId="41" fillId="0" borderId="0" xfId="0" applyFont="1" applyAlignment="1">
      <alignment horizontal="center" vertical="center"/>
    </xf>
    <xf numFmtId="0" fontId="41" fillId="0" borderId="0" xfId="0" applyFont="1" applyAlignment="1">
      <alignment horizontal="center"/>
    </xf>
    <xf numFmtId="3" fontId="36" fillId="0" borderId="0" xfId="0" applyNumberFormat="1" applyFont="1" applyAlignment="1">
      <alignment horizontal="center" vertical="center"/>
    </xf>
    <xf numFmtId="3" fontId="11" fillId="0" borderId="0" xfId="0" applyNumberFormat="1" applyFont="1" applyAlignment="1">
      <alignment horizontal="center" vertical="center"/>
    </xf>
    <xf numFmtId="0" fontId="39" fillId="0" borderId="0" xfId="0" applyFont="1" applyAlignment="1">
      <alignment horizontal="center"/>
    </xf>
    <xf numFmtId="0" fontId="18" fillId="0" borderId="47" xfId="0" applyFont="1" applyBorder="1" applyAlignment="1">
      <alignment horizontal="center" vertical="center" wrapText="1"/>
    </xf>
    <xf numFmtId="1" fontId="18" fillId="0" borderId="34" xfId="0" applyNumberFormat="1" applyFont="1" applyBorder="1" applyAlignment="1">
      <alignment horizontal="center" vertical="center"/>
    </xf>
    <xf numFmtId="3" fontId="18" fillId="0" borderId="49" xfId="0" applyNumberFormat="1" applyFont="1" applyBorder="1" applyAlignment="1">
      <alignment horizontal="center" vertical="center" wrapText="1"/>
    </xf>
    <xf numFmtId="3" fontId="18" fillId="16" borderId="0" xfId="0" applyNumberFormat="1" applyFont="1" applyFill="1" applyAlignment="1">
      <alignment horizontal="center" vertical="center"/>
    </xf>
    <xf numFmtId="1" fontId="18" fillId="15" borderId="0" xfId="0" applyNumberFormat="1" applyFont="1" applyFill="1" applyAlignment="1">
      <alignment horizontal="center" vertical="center"/>
    </xf>
    <xf numFmtId="3" fontId="18" fillId="11" borderId="0" xfId="0" applyNumberFormat="1" applyFont="1" applyFill="1" applyAlignment="1">
      <alignment horizontal="center" vertical="center"/>
    </xf>
    <xf numFmtId="3" fontId="18" fillId="0" borderId="62" xfId="0" applyNumberFormat="1" applyFont="1" applyBorder="1" applyAlignment="1">
      <alignment horizontal="center" vertical="center"/>
    </xf>
    <xf numFmtId="3" fontId="32" fillId="0" borderId="62" xfId="0" applyNumberFormat="1" applyFont="1" applyBorder="1" applyAlignment="1">
      <alignment horizontal="center" vertical="center"/>
    </xf>
    <xf numFmtId="3" fontId="11" fillId="0" borderId="61" xfId="0" applyNumberFormat="1" applyFont="1" applyBorder="1" applyAlignment="1">
      <alignment horizontal="center" vertical="center"/>
    </xf>
    <xf numFmtId="3" fontId="11" fillId="0" borderId="62" xfId="0" applyNumberFormat="1" applyFont="1" applyBorder="1" applyAlignment="1">
      <alignment horizontal="center" vertical="center"/>
    </xf>
    <xf numFmtId="1" fontId="18" fillId="0" borderId="25" xfId="0" applyNumberFormat="1" applyFont="1" applyBorder="1" applyAlignment="1">
      <alignment horizontal="center" vertical="center"/>
    </xf>
    <xf numFmtId="0" fontId="13" fillId="0" borderId="1" xfId="0" applyFont="1" applyBorder="1" applyAlignment="1">
      <alignment horizontal="center" vertical="center" wrapText="1"/>
    </xf>
    <xf numFmtId="1" fontId="27" fillId="0" borderId="1" xfId="0" applyNumberFormat="1" applyFont="1" applyBorder="1" applyAlignment="1">
      <alignment horizontal="center" vertical="center"/>
    </xf>
    <xf numFmtId="3" fontId="111" fillId="0" borderId="49" xfId="0" applyNumberFormat="1" applyFont="1" applyBorder="1" applyAlignment="1">
      <alignment horizontal="center" vertical="center" wrapText="1"/>
    </xf>
    <xf numFmtId="3" fontId="111" fillId="0" borderId="21" xfId="0" applyNumberFormat="1" applyFont="1" applyBorder="1" applyAlignment="1">
      <alignment horizontal="center" vertical="center" wrapText="1"/>
    </xf>
    <xf numFmtId="3" fontId="111" fillId="0" borderId="55" xfId="0" applyNumberFormat="1" applyFont="1" applyBorder="1" applyAlignment="1">
      <alignment horizontal="center" vertical="center" wrapText="1"/>
    </xf>
    <xf numFmtId="3" fontId="111" fillId="15" borderId="64" xfId="0" applyNumberFormat="1" applyFont="1" applyFill="1" applyBorder="1" applyAlignment="1">
      <alignment horizontal="center" vertical="center"/>
    </xf>
    <xf numFmtId="3" fontId="111" fillId="15" borderId="25" xfId="0" applyNumberFormat="1" applyFont="1" applyFill="1" applyBorder="1" applyAlignment="1">
      <alignment horizontal="center" vertical="center"/>
    </xf>
    <xf numFmtId="3" fontId="111" fillId="15" borderId="9" xfId="0" applyNumberFormat="1" applyFont="1" applyFill="1" applyBorder="1" applyAlignment="1">
      <alignment horizontal="center" vertical="center"/>
    </xf>
    <xf numFmtId="3" fontId="111" fillId="0" borderId="62" xfId="0" applyNumberFormat="1" applyFont="1" applyBorder="1" applyAlignment="1">
      <alignment horizontal="center" vertical="center"/>
    </xf>
    <xf numFmtId="3" fontId="111" fillId="0" borderId="0" xfId="0" applyNumberFormat="1" applyFont="1" applyAlignment="1">
      <alignment horizontal="center" vertical="center"/>
    </xf>
    <xf numFmtId="3" fontId="32" fillId="0" borderId="0" xfId="0" applyNumberFormat="1" applyFont="1" applyAlignment="1">
      <alignment horizontal="center" vertical="center"/>
    </xf>
    <xf numFmtId="0" fontId="18" fillId="0" borderId="16" xfId="0" applyFont="1" applyBorder="1" applyAlignment="1">
      <alignment horizontal="center" vertical="top"/>
    </xf>
    <xf numFmtId="0" fontId="27" fillId="0" borderId="16" xfId="0" applyFont="1" applyBorder="1" applyAlignment="1">
      <alignment horizontal="center"/>
    </xf>
    <xf numFmtId="0" fontId="27" fillId="0" borderId="0" xfId="0" applyFont="1" applyAlignment="1">
      <alignment horizontal="left" vertical="center" wrapText="1"/>
    </xf>
    <xf numFmtId="0" fontId="41" fillId="0" borderId="1" xfId="0" applyFont="1" applyBorder="1" applyAlignment="1">
      <alignment horizontal="center" vertical="center" wrapText="1"/>
    </xf>
    <xf numFmtId="0" fontId="82" fillId="0" borderId="0" xfId="0" applyFont="1" applyAlignment="1">
      <alignment horizontal="center" vertical="center" wrapText="1"/>
    </xf>
    <xf numFmtId="3" fontId="18" fillId="0" borderId="1" xfId="0" applyNumberFormat="1" applyFont="1" applyBorder="1" applyAlignment="1">
      <alignment horizontal="center" vertical="center" wrapText="1"/>
    </xf>
    <xf numFmtId="0" fontId="18" fillId="3" borderId="1" xfId="0" applyFont="1" applyFill="1" applyBorder="1" applyAlignment="1" applyProtection="1">
      <alignment horizontal="center" vertical="center"/>
      <protection locked="0"/>
    </xf>
    <xf numFmtId="0" fontId="15" fillId="9" borderId="1" xfId="0" applyFont="1" applyFill="1" applyBorder="1" applyAlignment="1" applyProtection="1">
      <alignment horizontal="center" vertical="center" wrapText="1"/>
      <protection locked="0"/>
    </xf>
    <xf numFmtId="1" fontId="5" fillId="0" borderId="1" xfId="0" applyNumberFormat="1" applyFont="1" applyBorder="1" applyAlignment="1">
      <alignment horizontal="center" vertical="center" wrapText="1"/>
    </xf>
    <xf numFmtId="0" fontId="118" fillId="0" borderId="1" xfId="0" applyFont="1" applyBorder="1" applyAlignment="1">
      <alignment horizontal="center" vertical="center" wrapText="1"/>
    </xf>
    <xf numFmtId="1" fontId="124" fillId="0" borderId="1" xfId="0" applyNumberFormat="1" applyFont="1" applyBorder="1" applyAlignment="1">
      <alignment horizontal="center" vertical="center" wrapText="1"/>
    </xf>
    <xf numFmtId="1" fontId="43" fillId="0" borderId="1" xfId="0" applyNumberFormat="1" applyFont="1" applyBorder="1" applyAlignment="1">
      <alignment horizontal="center" vertical="center" wrapText="1"/>
    </xf>
    <xf numFmtId="3" fontId="18" fillId="3" borderId="0" xfId="0" applyNumberFormat="1" applyFont="1" applyFill="1" applyAlignment="1">
      <alignment horizontal="center" vertical="center"/>
    </xf>
    <xf numFmtId="3" fontId="18" fillId="15" borderId="52" xfId="0" applyNumberFormat="1" applyFont="1" applyFill="1" applyBorder="1" applyAlignment="1">
      <alignment horizontal="center" vertical="center"/>
    </xf>
    <xf numFmtId="0" fontId="1" fillId="2" borderId="70" xfId="0" applyFont="1" applyFill="1" applyBorder="1" applyAlignment="1" applyProtection="1">
      <alignment horizontal="center" vertical="center"/>
      <protection locked="0"/>
    </xf>
    <xf numFmtId="3" fontId="18" fillId="11" borderId="64" xfId="0" applyNumberFormat="1" applyFont="1" applyFill="1" applyBorder="1" applyAlignment="1">
      <alignment horizontal="center" vertical="center"/>
    </xf>
    <xf numFmtId="3" fontId="111" fillId="11" borderId="64" xfId="0" applyNumberFormat="1" applyFont="1" applyFill="1" applyBorder="1" applyAlignment="1">
      <alignment horizontal="center" vertical="center"/>
    </xf>
    <xf numFmtId="3" fontId="111" fillId="11" borderId="25" xfId="0" applyNumberFormat="1" applyFont="1" applyFill="1" applyBorder="1" applyAlignment="1">
      <alignment horizontal="center" vertical="center"/>
    </xf>
    <xf numFmtId="3" fontId="111" fillId="11" borderId="9" xfId="0" applyNumberFormat="1" applyFont="1" applyFill="1" applyBorder="1" applyAlignment="1">
      <alignment horizontal="center" vertical="center"/>
    </xf>
    <xf numFmtId="3" fontId="18" fillId="3" borderId="73" xfId="0" applyNumberFormat="1" applyFont="1" applyFill="1" applyBorder="1" applyAlignment="1">
      <alignment horizontal="center" vertical="center"/>
    </xf>
    <xf numFmtId="3" fontId="111" fillId="3" borderId="73" xfId="0" applyNumberFormat="1" applyFont="1" applyFill="1" applyBorder="1" applyAlignment="1">
      <alignment horizontal="center" vertical="center"/>
    </xf>
    <xf numFmtId="3" fontId="111" fillId="3" borderId="12" xfId="0" applyNumberFormat="1" applyFont="1" applyFill="1" applyBorder="1" applyAlignment="1">
      <alignment horizontal="center" vertical="center"/>
    </xf>
    <xf numFmtId="3" fontId="111" fillId="3" borderId="1" xfId="0" applyNumberFormat="1" applyFont="1" applyFill="1" applyBorder="1" applyAlignment="1">
      <alignment horizontal="center" vertical="center"/>
    </xf>
    <xf numFmtId="169" fontId="27" fillId="3" borderId="1" xfId="0" applyNumberFormat="1" applyFont="1" applyFill="1" applyBorder="1" applyAlignment="1" applyProtection="1">
      <alignment horizontal="center" vertical="center"/>
      <protection locked="0"/>
    </xf>
    <xf numFmtId="0" fontId="0" fillId="2" borderId="1" xfId="0" applyFill="1" applyBorder="1" applyAlignment="1" applyProtection="1">
      <alignment horizontal="center" vertical="center" wrapText="1"/>
      <protection locked="0"/>
    </xf>
    <xf numFmtId="0" fontId="27" fillId="0" borderId="1" xfId="0" applyFont="1" applyBorder="1" applyAlignment="1" applyProtection="1">
      <alignment vertical="center" wrapText="1"/>
      <protection locked="0"/>
    </xf>
    <xf numFmtId="0" fontId="27" fillId="0" borderId="1" xfId="0" applyFont="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9" fillId="0" borderId="1" xfId="0" applyFont="1" applyBorder="1" applyAlignment="1" applyProtection="1">
      <alignment horizontal="center" vertical="center" wrapText="1"/>
      <protection locked="0"/>
    </xf>
    <xf numFmtId="0" fontId="27" fillId="0" borderId="14" xfId="0" applyFont="1" applyBorder="1" applyAlignment="1" applyProtection="1">
      <alignment horizontal="center" vertical="center" wrapText="1"/>
      <protection locked="0"/>
    </xf>
    <xf numFmtId="0" fontId="27" fillId="0" borderId="13"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wrapText="1"/>
      <protection locked="0"/>
    </xf>
    <xf numFmtId="0" fontId="0" fillId="0" borderId="1" xfId="0" applyBorder="1" applyAlignment="1" applyProtection="1">
      <alignment vertical="center" wrapText="1"/>
      <protection locked="0"/>
    </xf>
    <xf numFmtId="0" fontId="11" fillId="0" borderId="0" xfId="0" applyFont="1" applyAlignment="1">
      <alignment horizontal="center" vertical="center" wrapText="1"/>
    </xf>
    <xf numFmtId="1" fontId="1" fillId="0" borderId="9" xfId="0" applyNumberFormat="1" applyFont="1" applyBorder="1" applyAlignment="1">
      <alignment horizontal="center" vertical="center"/>
    </xf>
    <xf numFmtId="0" fontId="1" fillId="0" borderId="77" xfId="0" applyFont="1" applyBorder="1" applyAlignment="1">
      <alignment horizontal="center" vertical="center"/>
    </xf>
    <xf numFmtId="169" fontId="27" fillId="3" borderId="25" xfId="0" applyNumberFormat="1" applyFont="1" applyFill="1" applyBorder="1" applyAlignment="1" applyProtection="1">
      <alignment horizontal="center" vertical="center"/>
      <protection locked="0"/>
    </xf>
    <xf numFmtId="0" fontId="0" fillId="2" borderId="25" xfId="0" applyFill="1" applyBorder="1" applyAlignment="1" applyProtection="1">
      <alignment horizontal="center" vertical="center" wrapText="1"/>
      <protection locked="0"/>
    </xf>
    <xf numFmtId="169" fontId="27" fillId="3" borderId="13" xfId="0" applyNumberFormat="1" applyFont="1" applyFill="1" applyBorder="1" applyAlignment="1" applyProtection="1">
      <alignment horizontal="center" vertical="center"/>
      <protection locked="0"/>
    </xf>
    <xf numFmtId="1" fontId="2" fillId="0" borderId="31" xfId="0" applyNumberFormat="1" applyFont="1" applyBorder="1" applyAlignment="1" applyProtection="1">
      <alignment horizontal="center" vertical="center"/>
      <protection locked="0"/>
    </xf>
    <xf numFmtId="0" fontId="11" fillId="3" borderId="64" xfId="0" applyFont="1" applyFill="1" applyBorder="1" applyAlignment="1" applyProtection="1">
      <alignment horizontal="center" vertical="center"/>
      <protection locked="0"/>
    </xf>
    <xf numFmtId="0" fontId="11" fillId="3" borderId="25" xfId="0" applyFont="1" applyFill="1" applyBorder="1" applyAlignment="1" applyProtection="1">
      <alignment horizontal="center" vertical="center"/>
      <protection locked="0"/>
    </xf>
    <xf numFmtId="0" fontId="11" fillId="3" borderId="9" xfId="0" applyFont="1" applyFill="1" applyBorder="1" applyAlignment="1" applyProtection="1">
      <alignment horizontal="center" vertical="center"/>
      <protection locked="0"/>
    </xf>
    <xf numFmtId="165" fontId="0" fillId="3" borderId="1" xfId="0" applyNumberFormat="1" applyFill="1" applyBorder="1" applyAlignment="1" applyProtection="1">
      <alignment horizontal="center" vertical="center"/>
      <protection locked="0"/>
    </xf>
    <xf numFmtId="0" fontId="1" fillId="0" borderId="53" xfId="0" applyFont="1" applyBorder="1" applyAlignment="1">
      <alignment horizontal="center" vertical="center"/>
    </xf>
    <xf numFmtId="0" fontId="1" fillId="0" borderId="4" xfId="0" applyFont="1" applyBorder="1" applyAlignment="1">
      <alignment horizontal="center" vertical="center"/>
    </xf>
    <xf numFmtId="0" fontId="1" fillId="0" borderId="57" xfId="0" applyFont="1" applyBorder="1" applyAlignment="1">
      <alignment horizontal="center" vertical="center"/>
    </xf>
    <xf numFmtId="0" fontId="5" fillId="2" borderId="33" xfId="0" applyFont="1" applyFill="1" applyBorder="1" applyAlignment="1" applyProtection="1">
      <alignment horizontal="center" vertical="center" wrapText="1"/>
      <protection locked="0"/>
    </xf>
    <xf numFmtId="0" fontId="1" fillId="2" borderId="31" xfId="0" applyFont="1" applyFill="1" applyBorder="1" applyAlignment="1" applyProtection="1">
      <alignment horizontal="center" vertical="center" wrapText="1"/>
      <protection locked="0"/>
    </xf>
    <xf numFmtId="0" fontId="1" fillId="2" borderId="32" xfId="0" applyFont="1" applyFill="1" applyBorder="1" applyAlignment="1" applyProtection="1">
      <alignment horizontal="center" vertical="center" wrapText="1"/>
      <protection locked="0"/>
    </xf>
    <xf numFmtId="0" fontId="1" fillId="0" borderId="29" xfId="0" applyFont="1" applyBorder="1" applyAlignment="1">
      <alignment horizontal="center" vertical="center"/>
    </xf>
    <xf numFmtId="0" fontId="0" fillId="3" borderId="31" xfId="0" applyFill="1" applyBorder="1" applyAlignment="1" applyProtection="1">
      <alignment horizontal="center" vertical="center"/>
      <protection locked="0"/>
    </xf>
    <xf numFmtId="0" fontId="0" fillId="3" borderId="32" xfId="0" applyFill="1" applyBorder="1" applyAlignment="1" applyProtection="1">
      <alignment horizontal="center" vertical="center"/>
      <protection locked="0"/>
    </xf>
    <xf numFmtId="0" fontId="58" fillId="3" borderId="32" xfId="0" applyFont="1" applyFill="1" applyBorder="1" applyAlignment="1" applyProtection="1">
      <alignment horizontal="center" vertical="center"/>
      <protection locked="0"/>
    </xf>
    <xf numFmtId="0" fontId="0" fillId="3" borderId="33" xfId="0" applyFill="1" applyBorder="1" applyAlignment="1" applyProtection="1">
      <alignment horizontal="center" vertical="center"/>
      <protection locked="0"/>
    </xf>
    <xf numFmtId="1" fontId="0" fillId="3" borderId="1" xfId="0" applyNumberFormat="1" applyFill="1" applyBorder="1" applyAlignment="1" applyProtection="1">
      <alignment horizontal="center" vertical="center"/>
      <protection locked="0"/>
    </xf>
    <xf numFmtId="165" fontId="0" fillId="3" borderId="39" xfId="0" applyNumberFormat="1" applyFill="1" applyBorder="1" applyAlignment="1" applyProtection="1">
      <alignment horizontal="center" vertical="center"/>
      <protection locked="0"/>
    </xf>
    <xf numFmtId="165" fontId="0" fillId="3" borderId="49" xfId="0" applyNumberFormat="1" applyFill="1" applyBorder="1" applyAlignment="1" applyProtection="1">
      <alignment horizontal="center" vertical="center"/>
      <protection locked="0"/>
    </xf>
    <xf numFmtId="1" fontId="0" fillId="3" borderId="21" xfId="0" applyNumberFormat="1" applyFill="1" applyBorder="1" applyAlignment="1" applyProtection="1">
      <alignment horizontal="center" vertical="center"/>
      <protection locked="0"/>
    </xf>
    <xf numFmtId="165" fontId="0" fillId="0" borderId="55" xfId="0" applyNumberFormat="1" applyBorder="1" applyAlignment="1">
      <alignment horizontal="center" vertical="center"/>
    </xf>
    <xf numFmtId="3" fontId="11" fillId="0" borderId="65" xfId="0" applyNumberFormat="1" applyFont="1" applyBorder="1" applyAlignment="1">
      <alignment horizontal="center" vertical="center" wrapText="1"/>
    </xf>
    <xf numFmtId="3" fontId="11" fillId="0" borderId="13" xfId="0" applyNumberFormat="1" applyFont="1" applyBorder="1" applyAlignment="1">
      <alignment horizontal="center" vertical="center" wrapText="1"/>
    </xf>
    <xf numFmtId="3" fontId="32" fillId="0" borderId="13" xfId="0" applyNumberFormat="1" applyFont="1" applyBorder="1" applyAlignment="1">
      <alignment horizontal="center" vertical="center" wrapText="1"/>
    </xf>
    <xf numFmtId="3" fontId="111" fillId="0" borderId="75" xfId="0" applyNumberFormat="1" applyFont="1" applyBorder="1" applyAlignment="1">
      <alignment horizontal="center" vertical="center"/>
    </xf>
    <xf numFmtId="3" fontId="27" fillId="0" borderId="65" xfId="0" applyNumberFormat="1" applyFont="1" applyBorder="1" applyAlignment="1">
      <alignment horizontal="center" vertical="center" wrapText="1"/>
    </xf>
    <xf numFmtId="3" fontId="27" fillId="0" borderId="8" xfId="0" applyNumberFormat="1" applyFont="1" applyBorder="1" applyAlignment="1">
      <alignment horizontal="center" vertical="center" wrapText="1"/>
    </xf>
    <xf numFmtId="3" fontId="111" fillId="16" borderId="65" xfId="0" applyNumberFormat="1" applyFont="1" applyFill="1" applyBorder="1" applyAlignment="1">
      <alignment horizontal="center" vertical="center"/>
    </xf>
    <xf numFmtId="3" fontId="111" fillId="16" borderId="13" xfId="0" applyNumberFormat="1" applyFont="1" applyFill="1" applyBorder="1" applyAlignment="1">
      <alignment horizontal="center" vertical="center"/>
    </xf>
    <xf numFmtId="3" fontId="111" fillId="16" borderId="7" xfId="0" applyNumberFormat="1" applyFont="1" applyFill="1" applyBorder="1" applyAlignment="1">
      <alignment horizontal="center" vertical="center"/>
    </xf>
    <xf numFmtId="3" fontId="11" fillId="10" borderId="0" xfId="0" applyNumberFormat="1" applyFont="1" applyFill="1" applyAlignment="1">
      <alignment horizontal="center" vertical="center"/>
    </xf>
    <xf numFmtId="3" fontId="11" fillId="10" borderId="39" xfId="0" quotePrefix="1" applyNumberFormat="1" applyFont="1" applyFill="1" applyBorder="1" applyAlignment="1">
      <alignment horizontal="center" vertical="center"/>
    </xf>
    <xf numFmtId="3" fontId="11" fillId="10" borderId="2" xfId="0" applyNumberFormat="1" applyFont="1" applyFill="1" applyBorder="1" applyAlignment="1">
      <alignment horizontal="center" vertical="center"/>
    </xf>
    <xf numFmtId="3" fontId="11" fillId="10" borderId="39" xfId="0" applyNumberFormat="1" applyFont="1" applyFill="1" applyBorder="1" applyAlignment="1">
      <alignment horizontal="center" vertical="center"/>
    </xf>
    <xf numFmtId="3" fontId="11" fillId="10" borderId="1" xfId="0" applyNumberFormat="1" applyFont="1" applyFill="1" applyBorder="1" applyAlignment="1">
      <alignment horizontal="center" vertical="center"/>
    </xf>
    <xf numFmtId="3" fontId="18" fillId="10" borderId="0" xfId="0" applyNumberFormat="1" applyFont="1" applyFill="1" applyAlignment="1">
      <alignment horizontal="center" vertical="center"/>
    </xf>
    <xf numFmtId="3" fontId="18" fillId="10" borderId="39" xfId="0" quotePrefix="1" applyNumberFormat="1" applyFont="1" applyFill="1" applyBorder="1" applyAlignment="1">
      <alignment horizontal="center" vertical="center"/>
    </xf>
    <xf numFmtId="3" fontId="111" fillId="10" borderId="39" xfId="0" applyNumberFormat="1" applyFont="1" applyFill="1" applyBorder="1" applyAlignment="1">
      <alignment horizontal="center" vertical="center"/>
    </xf>
    <xf numFmtId="3" fontId="111" fillId="10" borderId="1" xfId="0" applyNumberFormat="1" applyFont="1" applyFill="1" applyBorder="1" applyAlignment="1">
      <alignment horizontal="center" vertical="center"/>
    </xf>
    <xf numFmtId="3" fontId="111" fillId="10" borderId="2" xfId="0" applyNumberFormat="1" applyFont="1" applyFill="1" applyBorder="1" applyAlignment="1">
      <alignment horizontal="center" vertical="center"/>
    </xf>
    <xf numFmtId="0" fontId="1" fillId="3" borderId="57" xfId="0" applyFont="1" applyFill="1" applyBorder="1" applyAlignment="1" applyProtection="1">
      <alignment horizontal="center" vertical="center"/>
      <protection locked="0"/>
    </xf>
    <xf numFmtId="0" fontId="0" fillId="0" borderId="49" xfId="0" applyBorder="1" applyAlignment="1">
      <alignment horizontal="center" vertical="center"/>
    </xf>
    <xf numFmtId="1" fontId="1" fillId="0" borderId="60" xfId="0" applyNumberFormat="1" applyFont="1" applyBorder="1" applyAlignment="1">
      <alignment horizontal="center" vertical="center"/>
    </xf>
    <xf numFmtId="0" fontId="3" fillId="2" borderId="49" xfId="0" applyFont="1" applyFill="1" applyBorder="1" applyAlignment="1" applyProtection="1">
      <alignment horizontal="center" vertical="center"/>
      <protection locked="0"/>
    </xf>
    <xf numFmtId="0" fontId="0" fillId="0" borderId="55" xfId="0" applyBorder="1" applyAlignment="1">
      <alignment horizontal="center" vertical="center"/>
    </xf>
    <xf numFmtId="0" fontId="3" fillId="2" borderId="57" xfId="0" applyFont="1" applyFill="1" applyBorder="1" applyAlignment="1" applyProtection="1">
      <alignment horizontal="center" vertical="center"/>
      <protection locked="0"/>
    </xf>
    <xf numFmtId="0" fontId="0" fillId="0" borderId="60" xfId="0" applyBorder="1" applyAlignment="1">
      <alignment horizontal="center" vertical="center"/>
    </xf>
    <xf numFmtId="1" fontId="2" fillId="0" borderId="33" xfId="0" applyNumberFormat="1" applyFont="1" applyBorder="1" applyAlignment="1">
      <alignment horizontal="center" vertical="center"/>
    </xf>
    <xf numFmtId="3" fontId="1" fillId="0" borderId="35" xfId="0" applyNumberFormat="1" applyFont="1" applyBorder="1" applyAlignment="1">
      <alignment horizontal="center" vertical="center"/>
    </xf>
    <xf numFmtId="1" fontId="0" fillId="0" borderId="49" xfId="0" applyNumberFormat="1" applyBorder="1" applyAlignment="1">
      <alignment horizontal="center" vertical="center"/>
    </xf>
    <xf numFmtId="1" fontId="0" fillId="0" borderId="55" xfId="0" applyNumberFormat="1" applyBorder="1" applyAlignment="1">
      <alignment horizontal="center" vertical="center"/>
    </xf>
    <xf numFmtId="0" fontId="27" fillId="0" borderId="5" xfId="0" applyFont="1" applyBorder="1" applyAlignment="1">
      <alignment horizontal="center" vertical="center" wrapText="1"/>
    </xf>
    <xf numFmtId="0" fontId="56" fillId="0" borderId="5" xfId="0" applyFont="1" applyBorder="1" applyAlignment="1">
      <alignment horizontal="center" vertical="center" wrapText="1"/>
    </xf>
    <xf numFmtId="0" fontId="18" fillId="0" borderId="5" xfId="0" applyFont="1" applyBorder="1" applyAlignment="1">
      <alignment horizontal="center" vertical="center" wrapText="1"/>
    </xf>
    <xf numFmtId="165" fontId="0" fillId="0" borderId="5" xfId="0" applyNumberFormat="1" applyBorder="1" applyAlignment="1">
      <alignment horizontal="center" vertical="center"/>
    </xf>
    <xf numFmtId="0" fontId="18" fillId="0" borderId="45" xfId="0" applyFont="1" applyBorder="1" applyAlignment="1">
      <alignment horizontal="center" vertical="center" wrapText="1"/>
    </xf>
    <xf numFmtId="0" fontId="26" fillId="0" borderId="39" xfId="0" applyFont="1" applyBorder="1" applyAlignment="1">
      <alignment horizontal="center" vertical="center" wrapText="1"/>
    </xf>
    <xf numFmtId="0" fontId="26" fillId="0" borderId="49" xfId="0" applyFont="1" applyBorder="1" applyAlignment="1">
      <alignment horizontal="center" vertical="center" wrapText="1"/>
    </xf>
    <xf numFmtId="169" fontId="27" fillId="3" borderId="56" xfId="0" applyNumberFormat="1" applyFont="1" applyFill="1" applyBorder="1" applyAlignment="1" applyProtection="1">
      <alignment horizontal="center" vertical="center"/>
      <protection locked="0"/>
    </xf>
    <xf numFmtId="0" fontId="0" fillId="2" borderId="21" xfId="0" applyFill="1" applyBorder="1" applyAlignment="1" applyProtection="1">
      <alignment horizontal="center" vertical="center" wrapText="1"/>
      <protection locked="0"/>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0" fontId="36" fillId="0" borderId="25" xfId="0" applyFont="1" applyBorder="1" applyAlignment="1">
      <alignment horizontal="center" vertical="center" wrapText="1"/>
    </xf>
    <xf numFmtId="0" fontId="1" fillId="0" borderId="25" xfId="0" applyFont="1" applyBorder="1" applyAlignment="1">
      <alignment horizontal="center" vertical="center" wrapText="1"/>
    </xf>
    <xf numFmtId="0" fontId="23" fillId="0" borderId="1" xfId="0" applyFont="1" applyBorder="1" applyAlignment="1">
      <alignment horizontal="center" vertical="center"/>
    </xf>
    <xf numFmtId="0" fontId="106" fillId="0" borderId="1" xfId="0" applyFont="1" applyBorder="1" applyAlignment="1">
      <alignment horizontal="center" vertical="center" wrapText="1"/>
    </xf>
    <xf numFmtId="0" fontId="36" fillId="0" borderId="1" xfId="0" applyFont="1" applyBorder="1" applyAlignment="1">
      <alignment horizontal="center" vertical="center" wrapText="1"/>
    </xf>
    <xf numFmtId="1" fontId="124" fillId="0" borderId="1" xfId="0" applyNumberFormat="1" applyFont="1" applyBorder="1" applyAlignment="1">
      <alignment horizontal="center" vertical="center"/>
    </xf>
    <xf numFmtId="0" fontId="134" fillId="0" borderId="0" xfId="0" applyFont="1" applyAlignment="1">
      <alignment horizontal="center" vertical="center"/>
    </xf>
    <xf numFmtId="0" fontId="135" fillId="0" borderId="0" xfId="0" applyFont="1" applyAlignment="1">
      <alignment horizontal="center" vertical="center"/>
    </xf>
    <xf numFmtId="1" fontId="118" fillId="0" borderId="1" xfId="0" applyNumberFormat="1" applyFont="1" applyBorder="1" applyAlignment="1">
      <alignment horizontal="center" vertical="center"/>
    </xf>
    <xf numFmtId="0" fontId="136" fillId="0" borderId="1" xfId="0" applyFont="1" applyBorder="1" applyAlignment="1">
      <alignment horizontal="center" vertical="center" wrapText="1"/>
    </xf>
    <xf numFmtId="165" fontId="0" fillId="3" borderId="4" xfId="0" applyNumberFormat="1" applyFill="1" applyBorder="1" applyAlignment="1" applyProtection="1">
      <alignment horizontal="center" vertical="center"/>
      <protection locked="0"/>
    </xf>
    <xf numFmtId="165" fontId="0" fillId="3" borderId="57" xfId="0" applyNumberFormat="1" applyFill="1" applyBorder="1" applyAlignment="1" applyProtection="1">
      <alignment horizontal="center" vertical="center"/>
      <protection locked="0"/>
    </xf>
    <xf numFmtId="165" fontId="0" fillId="3" borderId="10" xfId="0" applyNumberFormat="1" applyFill="1" applyBorder="1" applyAlignment="1" applyProtection="1">
      <alignment horizontal="center" vertical="center"/>
      <protection locked="0"/>
    </xf>
    <xf numFmtId="1" fontId="0" fillId="3" borderId="25" xfId="0" applyNumberFormat="1" applyFill="1" applyBorder="1" applyAlignment="1" applyProtection="1">
      <alignment horizontal="center" vertical="center"/>
      <protection locked="0"/>
    </xf>
    <xf numFmtId="165" fontId="0" fillId="3" borderId="25" xfId="0" applyNumberFormat="1" applyFill="1" applyBorder="1" applyAlignment="1" applyProtection="1">
      <alignment horizontal="center" vertical="center"/>
      <protection locked="0"/>
    </xf>
    <xf numFmtId="165" fontId="3" fillId="3" borderId="64" xfId="0" applyNumberFormat="1" applyFont="1" applyFill="1" applyBorder="1" applyAlignment="1" applyProtection="1">
      <alignment horizontal="center" vertical="center"/>
      <protection locked="0"/>
    </xf>
    <xf numFmtId="0" fontId="1" fillId="0" borderId="23" xfId="0" applyFont="1" applyBorder="1" applyAlignment="1">
      <alignment horizontal="center" vertical="center" wrapText="1"/>
    </xf>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9" xfId="0" applyBorder="1" applyAlignment="1">
      <alignment horizontal="center" vertical="center"/>
    </xf>
    <xf numFmtId="168" fontId="0" fillId="0" borderId="38" xfId="0" applyNumberFormat="1" applyBorder="1" applyAlignment="1">
      <alignment horizontal="center" vertical="center"/>
    </xf>
    <xf numFmtId="165" fontId="0" fillId="0" borderId="37" xfId="0" applyNumberFormat="1" applyBorder="1" applyAlignment="1">
      <alignment horizontal="center" vertical="center"/>
    </xf>
    <xf numFmtId="0" fontId="18" fillId="0" borderId="27" xfId="0" applyFont="1" applyBorder="1" applyAlignment="1" applyProtection="1">
      <alignment horizontal="center" vertical="center" wrapText="1"/>
      <protection locked="0"/>
    </xf>
    <xf numFmtId="1" fontId="1" fillId="0" borderId="46" xfId="0" applyNumberFormat="1" applyFont="1" applyBorder="1" applyAlignment="1">
      <alignment horizontal="right" vertical="center"/>
    </xf>
    <xf numFmtId="166" fontId="2" fillId="0" borderId="33" xfId="0" applyNumberFormat="1" applyFont="1" applyBorder="1" applyAlignment="1">
      <alignment horizontal="center" vertical="center"/>
    </xf>
    <xf numFmtId="0" fontId="1" fillId="0" borderId="72" xfId="0" applyFont="1" applyBorder="1" applyAlignment="1">
      <alignment horizontal="center" vertical="center" wrapText="1"/>
    </xf>
    <xf numFmtId="0" fontId="1" fillId="0" borderId="65" xfId="0" applyFont="1" applyBorder="1" applyAlignment="1">
      <alignment horizontal="center" vertical="center" wrapText="1"/>
    </xf>
    <xf numFmtId="0" fontId="1" fillId="0" borderId="13" xfId="0" applyFont="1" applyBorder="1" applyAlignment="1">
      <alignment horizontal="center" vertical="center" wrapText="1"/>
    </xf>
    <xf numFmtId="0" fontId="0" fillId="0" borderId="19" xfId="0" applyBorder="1" applyAlignment="1">
      <alignment horizontal="center" vertical="center"/>
    </xf>
    <xf numFmtId="0" fontId="1" fillId="2" borderId="47" xfId="0" applyFont="1" applyFill="1" applyBorder="1" applyAlignment="1" applyProtection="1">
      <alignment horizontal="center" vertical="center" wrapText="1"/>
      <protection locked="0"/>
    </xf>
    <xf numFmtId="0" fontId="1" fillId="2" borderId="40" xfId="0" applyFont="1" applyFill="1" applyBorder="1" applyAlignment="1" applyProtection="1">
      <alignment horizontal="center" vertical="center" wrapText="1"/>
      <protection locked="0"/>
    </xf>
    <xf numFmtId="0" fontId="1" fillId="2" borderId="12" xfId="0" applyFont="1" applyFill="1" applyBorder="1" applyAlignment="1" applyProtection="1">
      <alignment horizontal="center" vertical="center" wrapText="1"/>
      <protection locked="0"/>
    </xf>
    <xf numFmtId="0" fontId="1" fillId="2" borderId="3" xfId="0" applyFont="1" applyFill="1" applyBorder="1" applyAlignment="1" applyProtection="1">
      <alignment horizontal="center" vertical="center" wrapText="1"/>
      <protection locked="0"/>
    </xf>
    <xf numFmtId="0" fontId="1" fillId="0" borderId="21" xfId="0" applyFont="1" applyBorder="1" applyAlignment="1">
      <alignment horizontal="center" vertical="center"/>
    </xf>
    <xf numFmtId="0" fontId="48" fillId="0" borderId="0" xfId="0" applyFont="1"/>
    <xf numFmtId="0" fontId="41" fillId="0" borderId="0" xfId="0" applyFont="1" applyAlignment="1">
      <alignment horizontal="left" vertical="center"/>
    </xf>
    <xf numFmtId="0" fontId="18" fillId="0" borderId="0" xfId="0" applyFont="1" applyAlignment="1">
      <alignment horizontal="left" vertical="center" wrapText="1"/>
    </xf>
    <xf numFmtId="3" fontId="48" fillId="0" borderId="0" xfId="0" applyNumberFormat="1" applyFont="1" applyAlignment="1">
      <alignment horizontal="right" vertical="center"/>
    </xf>
    <xf numFmtId="3" fontId="32" fillId="0" borderId="0" xfId="0" applyNumberFormat="1" applyFont="1" applyAlignment="1">
      <alignment horizontal="left" vertical="center"/>
    </xf>
    <xf numFmtId="3" fontId="116" fillId="0" borderId="0" xfId="0" applyNumberFormat="1" applyFont="1" applyAlignment="1">
      <alignment horizontal="center" vertical="center"/>
    </xf>
    <xf numFmtId="3" fontId="119" fillId="0" borderId="0" xfId="0" applyNumberFormat="1" applyFont="1" applyAlignment="1">
      <alignment horizontal="center" vertical="center"/>
    </xf>
    <xf numFmtId="3" fontId="48" fillId="0" borderId="0" xfId="0" applyNumberFormat="1" applyFont="1" applyAlignment="1">
      <alignment horizontal="center" vertical="center"/>
    </xf>
    <xf numFmtId="0" fontId="47" fillId="0" borderId="0" xfId="0" applyFont="1" applyAlignment="1">
      <alignment vertical="center"/>
    </xf>
    <xf numFmtId="2" fontId="0" fillId="0" borderId="1" xfId="0" applyNumberFormat="1" applyBorder="1" applyAlignment="1">
      <alignment horizontal="center" vertical="center"/>
    </xf>
    <xf numFmtId="165" fontId="108" fillId="0" borderId="1" xfId="0" applyNumberFormat="1" applyFont="1" applyBorder="1" applyAlignment="1">
      <alignment horizontal="center" vertical="center"/>
    </xf>
    <xf numFmtId="0" fontId="48" fillId="0" borderId="12" xfId="0" applyFont="1" applyBorder="1" applyAlignment="1">
      <alignment horizontal="center" vertical="center" wrapText="1"/>
    </xf>
    <xf numFmtId="0" fontId="47" fillId="0" borderId="0" xfId="0" applyFont="1" applyAlignment="1">
      <alignment horizontal="center" vertical="center"/>
    </xf>
    <xf numFmtId="0" fontId="47" fillId="0" borderId="0" xfId="0" applyFont="1" applyAlignment="1">
      <alignment horizontal="left" vertical="center"/>
    </xf>
    <xf numFmtId="0" fontId="48" fillId="0" borderId="0" xfId="0" applyFont="1" applyAlignment="1">
      <alignment horizontal="center" vertical="center"/>
    </xf>
    <xf numFmtId="0" fontId="45" fillId="0" borderId="0" xfId="0" applyFont="1" applyAlignment="1">
      <alignment horizontal="center" vertical="center"/>
    </xf>
    <xf numFmtId="0" fontId="133" fillId="0" borderId="0" xfId="0" applyFont="1" applyAlignment="1">
      <alignment horizontal="center" vertical="center"/>
    </xf>
    <xf numFmtId="0" fontId="22" fillId="0" borderId="0" xfId="0" applyFont="1" applyAlignment="1">
      <alignment vertical="center"/>
    </xf>
    <xf numFmtId="0" fontId="22" fillId="0" borderId="0" xfId="0" applyFont="1" applyAlignment="1">
      <alignment horizontal="center" vertical="center"/>
    </xf>
    <xf numFmtId="165" fontId="22" fillId="0" borderId="0" xfId="0" applyNumberFormat="1" applyFont="1" applyAlignment="1">
      <alignment horizontal="center" vertical="center"/>
    </xf>
    <xf numFmtId="165" fontId="133" fillId="0" borderId="0" xfId="0" applyNumberFormat="1" applyFont="1" applyAlignment="1">
      <alignment horizontal="center" vertical="center"/>
    </xf>
    <xf numFmtId="165" fontId="48" fillId="0" borderId="0" xfId="0" applyNumberFormat="1" applyFont="1" applyAlignment="1">
      <alignment horizontal="center" vertical="center"/>
    </xf>
    <xf numFmtId="0" fontId="48" fillId="0" borderId="0" xfId="0" applyFont="1" applyAlignment="1">
      <alignment horizontal="right" vertical="center"/>
    </xf>
    <xf numFmtId="165" fontId="18" fillId="10" borderId="27" xfId="0" applyNumberFormat="1" applyFont="1" applyFill="1" applyBorder="1" applyAlignment="1">
      <alignment horizontal="center" vertical="center"/>
    </xf>
    <xf numFmtId="165" fontId="5" fillId="3" borderId="69" xfId="0" applyNumberFormat="1" applyFont="1" applyFill="1" applyBorder="1" applyAlignment="1" applyProtection="1">
      <alignment horizontal="center" vertical="center"/>
      <protection locked="0"/>
    </xf>
    <xf numFmtId="1" fontId="1" fillId="0" borderId="48" xfId="0" applyNumberFormat="1" applyFont="1" applyBorder="1" applyAlignment="1">
      <alignment horizontal="center" vertical="center"/>
    </xf>
    <xf numFmtId="1" fontId="1" fillId="0" borderId="41" xfId="0" applyNumberFormat="1" applyFont="1" applyBorder="1" applyAlignment="1">
      <alignment horizontal="center" vertical="center"/>
    </xf>
    <xf numFmtId="1" fontId="1" fillId="0" borderId="36" xfId="0" applyNumberFormat="1" applyFont="1" applyBorder="1" applyAlignment="1">
      <alignment horizontal="center" vertical="center"/>
    </xf>
    <xf numFmtId="0" fontId="1" fillId="2" borderId="31" xfId="0" applyFont="1" applyFill="1" applyBorder="1" applyAlignment="1" applyProtection="1">
      <alignment horizontal="center" vertical="center"/>
      <protection locked="0"/>
    </xf>
    <xf numFmtId="0" fontId="1" fillId="2" borderId="32" xfId="0" applyFont="1" applyFill="1" applyBorder="1" applyAlignment="1" applyProtection="1">
      <alignment horizontal="center" vertical="center"/>
      <protection locked="0"/>
    </xf>
    <xf numFmtId="0" fontId="1" fillId="2" borderId="33" xfId="0" applyFont="1" applyFill="1" applyBorder="1" applyAlignment="1" applyProtection="1">
      <alignment horizontal="center" vertical="center"/>
      <protection locked="0"/>
    </xf>
    <xf numFmtId="165" fontId="5" fillId="3" borderId="32" xfId="0" applyNumberFormat="1" applyFont="1" applyFill="1" applyBorder="1" applyAlignment="1" applyProtection="1">
      <alignment horizontal="center" vertical="center"/>
      <protection locked="0"/>
    </xf>
    <xf numFmtId="165" fontId="5" fillId="3" borderId="33" xfId="0" applyNumberFormat="1" applyFont="1" applyFill="1" applyBorder="1" applyAlignment="1" applyProtection="1">
      <alignment horizontal="center" vertical="center"/>
      <protection locked="0"/>
    </xf>
    <xf numFmtId="0" fontId="0" fillId="6" borderId="0" xfId="0" applyFill="1" applyAlignment="1">
      <alignment horizontal="center"/>
    </xf>
    <xf numFmtId="0" fontId="0" fillId="3" borderId="0" xfId="0" applyFill="1" applyAlignment="1">
      <alignment horizontal="center"/>
    </xf>
    <xf numFmtId="0" fontId="0" fillId="7" borderId="0" xfId="0" applyFill="1" applyAlignment="1">
      <alignment horizontal="center"/>
    </xf>
    <xf numFmtId="0" fontId="0" fillId="8" borderId="0" xfId="0" applyFill="1" applyAlignment="1">
      <alignment horizontal="center"/>
    </xf>
    <xf numFmtId="0" fontId="23" fillId="8" borderId="0" xfId="0" applyFont="1" applyFill="1" applyAlignment="1">
      <alignment horizontal="center"/>
    </xf>
    <xf numFmtId="0" fontId="0" fillId="0" borderId="20" xfId="0" applyBorder="1" applyAlignment="1">
      <alignment horizontal="center" vertical="center" wrapText="1"/>
    </xf>
    <xf numFmtId="4" fontId="18" fillId="15" borderId="73" xfId="0" applyNumberFormat="1" applyFont="1" applyFill="1" applyBorder="1" applyAlignment="1">
      <alignment horizontal="center" vertical="center"/>
    </xf>
    <xf numFmtId="4" fontId="3" fillId="3" borderId="73" xfId="0" applyNumberFormat="1" applyFont="1" applyFill="1" applyBorder="1" applyAlignment="1">
      <alignment horizontal="center" vertical="center"/>
    </xf>
    <xf numFmtId="4" fontId="18" fillId="11" borderId="73" xfId="0" applyNumberFormat="1" applyFont="1" applyFill="1" applyBorder="1" applyAlignment="1">
      <alignment horizontal="center" vertical="center"/>
    </xf>
    <xf numFmtId="4" fontId="18" fillId="0" borderId="61" xfId="0" applyNumberFormat="1" applyFont="1" applyBorder="1" applyAlignment="1">
      <alignment horizontal="center" vertical="center"/>
    </xf>
    <xf numFmtId="4" fontId="18" fillId="10" borderId="40" xfId="0" applyNumberFormat="1" applyFont="1" applyFill="1" applyBorder="1" applyAlignment="1">
      <alignment horizontal="center" vertical="center"/>
    </xf>
    <xf numFmtId="171" fontId="11" fillId="15" borderId="52" xfId="0" applyNumberFormat="1" applyFont="1" applyFill="1" applyBorder="1" applyAlignment="1">
      <alignment horizontal="center" vertical="center"/>
    </xf>
    <xf numFmtId="171" fontId="11" fillId="15" borderId="54" xfId="0" applyNumberFormat="1" applyFont="1" applyFill="1" applyBorder="1" applyAlignment="1">
      <alignment horizontal="center" vertical="center"/>
    </xf>
    <xf numFmtId="171" fontId="11" fillId="3" borderId="39" xfId="0" applyNumberFormat="1" applyFont="1" applyFill="1" applyBorder="1" applyAlignment="1">
      <alignment horizontal="center" vertical="center"/>
    </xf>
    <xf numFmtId="171" fontId="11" fillId="3" borderId="45" xfId="0" applyNumberFormat="1" applyFont="1" applyFill="1" applyBorder="1" applyAlignment="1">
      <alignment horizontal="center" vertical="center"/>
    </xf>
    <xf numFmtId="171" fontId="11" fillId="11" borderId="39" xfId="0" applyNumberFormat="1" applyFont="1" applyFill="1" applyBorder="1" applyAlignment="1">
      <alignment horizontal="center" vertical="center"/>
    </xf>
    <xf numFmtId="171" fontId="11" fillId="11" borderId="45" xfId="0" applyNumberFormat="1" applyFont="1" applyFill="1" applyBorder="1" applyAlignment="1">
      <alignment horizontal="center" vertical="center"/>
    </xf>
    <xf numFmtId="171" fontId="11" fillId="10" borderId="39" xfId="0" applyNumberFormat="1" applyFont="1" applyFill="1" applyBorder="1" applyAlignment="1">
      <alignment horizontal="center" vertical="center"/>
    </xf>
    <xf numFmtId="171" fontId="11" fillId="10" borderId="45" xfId="0" applyNumberFormat="1" applyFont="1" applyFill="1" applyBorder="1" applyAlignment="1">
      <alignment horizontal="center" vertical="center"/>
    </xf>
    <xf numFmtId="171" fontId="11" fillId="0" borderId="61" xfId="0" applyNumberFormat="1" applyFont="1" applyBorder="1" applyAlignment="1">
      <alignment horizontal="center" vertical="center"/>
    </xf>
    <xf numFmtId="171" fontId="11" fillId="0" borderId="63" xfId="0" applyNumberFormat="1" applyFont="1" applyBorder="1" applyAlignment="1">
      <alignment horizontal="center" vertical="center"/>
    </xf>
    <xf numFmtId="0" fontId="138" fillId="0" borderId="0" xfId="0" applyFont="1" applyAlignment="1">
      <alignment horizontal="center" vertical="center" wrapText="1"/>
    </xf>
    <xf numFmtId="3" fontId="18" fillId="0" borderId="12" xfId="0" applyNumberFormat="1" applyFont="1" applyBorder="1" applyAlignment="1">
      <alignment horizontal="center" vertical="center"/>
    </xf>
    <xf numFmtId="3" fontId="11" fillId="0" borderId="12" xfId="0" applyNumberFormat="1" applyFont="1" applyBorder="1" applyAlignment="1">
      <alignment horizontal="center" vertical="center"/>
    </xf>
    <xf numFmtId="3" fontId="111" fillId="0" borderId="13" xfId="0" applyNumberFormat="1" applyFont="1" applyBorder="1" applyAlignment="1">
      <alignment horizontal="center" vertical="center" wrapText="1"/>
    </xf>
    <xf numFmtId="3" fontId="123" fillId="0" borderId="20" xfId="0" applyNumberFormat="1" applyFont="1" applyBorder="1" applyAlignment="1">
      <alignment horizontal="center" vertical="center"/>
    </xf>
    <xf numFmtId="3" fontId="139" fillId="0" borderId="20" xfId="0" applyNumberFormat="1" applyFont="1" applyBorder="1" applyAlignment="1">
      <alignment horizontal="center" vertical="center"/>
    </xf>
    <xf numFmtId="3" fontId="11" fillId="0" borderId="0" xfId="0" applyNumberFormat="1" applyFont="1" applyAlignment="1">
      <alignment horizontal="center" vertical="center" wrapText="1"/>
    </xf>
    <xf numFmtId="3" fontId="32" fillId="0" borderId="0" xfId="0" applyNumberFormat="1" applyFont="1" applyAlignment="1">
      <alignment horizontal="center" vertical="center" wrapText="1"/>
    </xf>
    <xf numFmtId="3" fontId="111" fillId="0" borderId="65" xfId="0" applyNumberFormat="1" applyFont="1" applyBorder="1" applyAlignment="1">
      <alignment horizontal="center" vertical="center" wrapText="1"/>
    </xf>
    <xf numFmtId="3" fontId="111" fillId="0" borderId="72" xfId="0" applyNumberFormat="1" applyFont="1" applyBorder="1" applyAlignment="1">
      <alignment horizontal="center" vertical="center" wrapText="1"/>
    </xf>
    <xf numFmtId="3" fontId="118" fillId="0" borderId="13" xfId="0" applyNumberFormat="1" applyFont="1" applyBorder="1" applyAlignment="1">
      <alignment horizontal="center" vertical="center" wrapText="1"/>
    </xf>
    <xf numFmtId="3" fontId="118" fillId="0" borderId="0" xfId="0" applyNumberFormat="1" applyFont="1" applyAlignment="1">
      <alignment horizontal="center" vertical="center" wrapText="1"/>
    </xf>
    <xf numFmtId="165" fontId="18" fillId="3" borderId="4" xfId="0" applyNumberFormat="1" applyFont="1" applyFill="1" applyBorder="1" applyAlignment="1" applyProtection="1">
      <alignment horizontal="center" vertical="center"/>
      <protection locked="0"/>
    </xf>
    <xf numFmtId="0" fontId="41" fillId="0" borderId="0" xfId="0" applyFont="1" applyAlignment="1">
      <alignment horizontal="center" vertical="center" wrapText="1"/>
    </xf>
    <xf numFmtId="3" fontId="2" fillId="0" borderId="61" xfId="0" applyNumberFormat="1" applyFont="1" applyBorder="1" applyAlignment="1">
      <alignment horizontal="center" vertical="center" wrapText="1"/>
    </xf>
    <xf numFmtId="3" fontId="2" fillId="0" borderId="62" xfId="0" applyNumberFormat="1" applyFont="1" applyBorder="1" applyAlignment="1">
      <alignment horizontal="center" vertical="center" wrapText="1"/>
    </xf>
    <xf numFmtId="3" fontId="2" fillId="0" borderId="63" xfId="0" applyNumberFormat="1" applyFont="1" applyBorder="1" applyAlignment="1">
      <alignment horizontal="center" vertical="center" wrapText="1"/>
    </xf>
    <xf numFmtId="0" fontId="53" fillId="0" borderId="0" xfId="0" applyFont="1" applyAlignment="1">
      <alignment horizontal="center"/>
    </xf>
    <xf numFmtId="0" fontId="39" fillId="0" borderId="1" xfId="0" applyFont="1" applyBorder="1" applyAlignment="1">
      <alignment horizontal="center" vertical="center"/>
    </xf>
    <xf numFmtId="4" fontId="2" fillId="0" borderId="19" xfId="0" applyNumberFormat="1" applyFont="1" applyBorder="1" applyAlignment="1">
      <alignment horizontal="center" vertical="center" wrapText="1"/>
    </xf>
    <xf numFmtId="3" fontId="1" fillId="0" borderId="1" xfId="0" applyNumberFormat="1" applyFont="1" applyBorder="1" applyAlignment="1">
      <alignment horizontal="center" vertical="center" wrapText="1"/>
    </xf>
    <xf numFmtId="0" fontId="36" fillId="0" borderId="0" xfId="0" applyFont="1" applyAlignment="1">
      <alignment horizontal="center" vertical="center" wrapText="1"/>
    </xf>
    <xf numFmtId="0" fontId="118" fillId="0" borderId="0" xfId="0" quotePrefix="1" applyFont="1" applyAlignment="1">
      <alignment horizontal="center"/>
    </xf>
    <xf numFmtId="3" fontId="117" fillId="0" borderId="0" xfId="0" applyNumberFormat="1" applyFont="1" applyAlignment="1">
      <alignment horizontal="center" vertical="center" wrapText="1"/>
    </xf>
    <xf numFmtId="3" fontId="131" fillId="0" borderId="0" xfId="0" applyNumberFormat="1" applyFont="1" applyAlignment="1">
      <alignment horizontal="center" vertical="center"/>
    </xf>
    <xf numFmtId="0" fontId="129" fillId="0" borderId="0" xfId="0" applyFont="1" applyAlignment="1">
      <alignment horizontal="center" vertical="center" wrapText="1"/>
    </xf>
    <xf numFmtId="0" fontId="120" fillId="0" borderId="0" xfId="0" applyFont="1" applyAlignment="1">
      <alignment horizontal="center" vertical="center" wrapText="1"/>
    </xf>
    <xf numFmtId="3" fontId="109" fillId="0" borderId="0" xfId="0" applyNumberFormat="1" applyFont="1" applyAlignment="1">
      <alignment horizontal="center" vertical="center"/>
    </xf>
    <xf numFmtId="0" fontId="0" fillId="0" borderId="0" xfId="0" applyAlignment="1">
      <alignment horizontal="center" wrapText="1"/>
    </xf>
    <xf numFmtId="0" fontId="2" fillId="0" borderId="28" xfId="0" applyFont="1" applyBorder="1" applyAlignment="1">
      <alignment horizontal="center" vertical="center" wrapText="1"/>
    </xf>
    <xf numFmtId="0" fontId="2" fillId="0" borderId="18" xfId="0" applyFont="1" applyBorder="1" applyAlignment="1">
      <alignment horizontal="center" vertical="center" wrapText="1"/>
    </xf>
    <xf numFmtId="3" fontId="5" fillId="0" borderId="25" xfId="0" applyNumberFormat="1" applyFont="1" applyBorder="1" applyAlignment="1">
      <alignment horizontal="center" vertical="center" wrapText="1"/>
    </xf>
    <xf numFmtId="3" fontId="102" fillId="0" borderId="0" xfId="0" applyNumberFormat="1" applyFont="1" applyAlignment="1">
      <alignment horizontal="center" vertical="center" wrapText="1"/>
    </xf>
    <xf numFmtId="0" fontId="40" fillId="0" borderId="16" xfId="0" applyFont="1" applyBorder="1" applyAlignment="1">
      <alignment horizontal="center" vertical="center"/>
    </xf>
    <xf numFmtId="3" fontId="11" fillId="0" borderId="18" xfId="0" applyNumberFormat="1" applyFont="1" applyBorder="1" applyAlignment="1">
      <alignment horizontal="center" vertical="center" wrapText="1"/>
    </xf>
    <xf numFmtId="3" fontId="11" fillId="0" borderId="18" xfId="0" applyNumberFormat="1" applyFont="1" applyBorder="1" applyAlignment="1">
      <alignment horizontal="center" vertical="center"/>
    </xf>
    <xf numFmtId="0" fontId="23" fillId="0" borderId="20" xfId="0" applyFont="1" applyBorder="1" applyAlignment="1">
      <alignment horizontal="center" vertical="center" wrapText="1"/>
    </xf>
    <xf numFmtId="0" fontId="42" fillId="0" borderId="20" xfId="0" applyFont="1" applyBorder="1" applyAlignment="1">
      <alignment horizontal="center"/>
    </xf>
    <xf numFmtId="3" fontId="32" fillId="0" borderId="20" xfId="0" applyNumberFormat="1" applyFont="1" applyBorder="1" applyAlignment="1">
      <alignment horizontal="center" vertical="center"/>
    </xf>
    <xf numFmtId="0" fontId="143" fillId="0" borderId="0" xfId="0" applyFont="1" applyAlignment="1">
      <alignment horizontal="center" vertical="center" wrapText="1"/>
    </xf>
    <xf numFmtId="0" fontId="142" fillId="0" borderId="0" xfId="0" applyFont="1" applyAlignment="1">
      <alignment horizontal="center" vertical="center" wrapText="1"/>
    </xf>
    <xf numFmtId="3" fontId="2" fillId="0" borderId="0" xfId="0" applyNumberFormat="1" applyFont="1" applyAlignment="1">
      <alignment horizontal="center" vertical="center" wrapText="1"/>
    </xf>
    <xf numFmtId="3" fontId="146" fillId="0" borderId="0" xfId="0" applyNumberFormat="1" applyFont="1" applyAlignment="1">
      <alignment horizontal="center" vertical="center"/>
    </xf>
    <xf numFmtId="3" fontId="146" fillId="22" borderId="1" xfId="0" applyNumberFormat="1" applyFont="1" applyFill="1" applyBorder="1" applyAlignment="1">
      <alignment horizontal="center" vertical="center"/>
    </xf>
    <xf numFmtId="0" fontId="147" fillId="0" borderId="0" xfId="0" applyFont="1" applyAlignment="1">
      <alignment horizontal="center"/>
    </xf>
    <xf numFmtId="3" fontId="146" fillId="23" borderId="1" xfId="0" applyNumberFormat="1" applyFont="1" applyFill="1" applyBorder="1" applyAlignment="1">
      <alignment horizontal="center" vertical="center"/>
    </xf>
    <xf numFmtId="3" fontId="146" fillId="0" borderId="20" xfId="0" applyNumberFormat="1" applyFont="1" applyBorder="1" applyAlignment="1">
      <alignment horizontal="center" vertical="center"/>
    </xf>
    <xf numFmtId="3" fontId="146" fillId="23" borderId="21" xfId="0" applyNumberFormat="1" applyFont="1" applyFill="1" applyBorder="1" applyAlignment="1">
      <alignment horizontal="center" vertical="center"/>
    </xf>
    <xf numFmtId="0" fontId="147" fillId="0" borderId="20" xfId="0" applyFont="1" applyBorder="1" applyAlignment="1">
      <alignment horizontal="center"/>
    </xf>
    <xf numFmtId="0" fontId="145" fillId="22" borderId="39" xfId="0" applyFont="1" applyFill="1" applyBorder="1" applyAlignment="1">
      <alignment horizontal="center" vertical="center" wrapText="1"/>
    </xf>
    <xf numFmtId="0" fontId="145" fillId="23" borderId="39" xfId="0" applyFont="1" applyFill="1" applyBorder="1" applyAlignment="1">
      <alignment horizontal="center" vertical="center" wrapText="1"/>
    </xf>
    <xf numFmtId="0" fontId="146" fillId="23" borderId="49" xfId="0" applyFont="1" applyFill="1" applyBorder="1" applyAlignment="1">
      <alignment horizontal="center" vertical="center" wrapText="1"/>
    </xf>
    <xf numFmtId="3" fontId="11" fillId="0" borderId="75" xfId="0" applyNumberFormat="1" applyFont="1" applyBorder="1" applyAlignment="1">
      <alignment horizontal="center" vertical="center"/>
    </xf>
    <xf numFmtId="3" fontId="123" fillId="0" borderId="0" xfId="0" applyNumberFormat="1" applyFont="1" applyAlignment="1">
      <alignment horizontal="center" vertical="center"/>
    </xf>
    <xf numFmtId="3" fontId="11" fillId="0" borderId="72" xfId="0" applyNumberFormat="1" applyFont="1" applyBorder="1" applyAlignment="1">
      <alignment horizontal="center" vertical="center" wrapText="1"/>
    </xf>
    <xf numFmtId="3" fontId="60" fillId="0" borderId="20" xfId="0" applyNumberFormat="1" applyFont="1" applyBorder="1" applyAlignment="1">
      <alignment horizontal="right" vertical="center"/>
    </xf>
    <xf numFmtId="171" fontId="11" fillId="15" borderId="44" xfId="0" applyNumberFormat="1" applyFont="1" applyFill="1" applyBorder="1" applyAlignment="1">
      <alignment horizontal="center" vertical="center"/>
    </xf>
    <xf numFmtId="171" fontId="11" fillId="3" borderId="1" xfId="0" applyNumberFormat="1" applyFont="1" applyFill="1" applyBorder="1" applyAlignment="1">
      <alignment horizontal="center" vertical="center"/>
    </xf>
    <xf numFmtId="171" fontId="11" fillId="11" borderId="1" xfId="0" applyNumberFormat="1" applyFont="1" applyFill="1" applyBorder="1" applyAlignment="1">
      <alignment horizontal="center" vertical="center"/>
    </xf>
    <xf numFmtId="171" fontId="11" fillId="10" borderId="1" xfId="0" applyNumberFormat="1" applyFont="1" applyFill="1" applyBorder="1" applyAlignment="1">
      <alignment horizontal="center" vertical="center"/>
    </xf>
    <xf numFmtId="171" fontId="11" fillId="16" borderId="65" xfId="0" applyNumberFormat="1" applyFont="1" applyFill="1" applyBorder="1" applyAlignment="1">
      <alignment horizontal="center" vertical="center"/>
    </xf>
    <xf numFmtId="171" fontId="11" fillId="16" borderId="13" xfId="0" applyNumberFormat="1" applyFont="1" applyFill="1" applyBorder="1" applyAlignment="1">
      <alignment horizontal="center" vertical="center"/>
    </xf>
    <xf numFmtId="171" fontId="11" fillId="16" borderId="72" xfId="0" applyNumberFormat="1" applyFont="1" applyFill="1" applyBorder="1" applyAlignment="1">
      <alignment horizontal="center" vertical="center"/>
    </xf>
    <xf numFmtId="171" fontId="118" fillId="0" borderId="62" xfId="0" applyNumberFormat="1" applyFont="1" applyBorder="1" applyAlignment="1">
      <alignment horizontal="center" vertical="center"/>
    </xf>
    <xf numFmtId="171" fontId="32" fillId="0" borderId="62" xfId="0" applyNumberFormat="1" applyFont="1" applyBorder="1" applyAlignment="1">
      <alignment horizontal="center" vertical="center"/>
    </xf>
    <xf numFmtId="171" fontId="11" fillId="0" borderId="62" xfId="0" applyNumberFormat="1" applyFont="1" applyBorder="1" applyAlignment="1">
      <alignment horizontal="center" vertical="center"/>
    </xf>
    <xf numFmtId="0" fontId="18" fillId="0" borderId="68" xfId="0" applyFont="1" applyBorder="1" applyAlignment="1">
      <alignment horizontal="center" vertical="center" wrapText="1"/>
    </xf>
    <xf numFmtId="1" fontId="18" fillId="0" borderId="35" xfId="0" applyNumberFormat="1" applyFont="1" applyBorder="1" applyAlignment="1">
      <alignment horizontal="center" vertical="center"/>
    </xf>
    <xf numFmtId="4" fontId="18" fillId="15" borderId="12" xfId="0" applyNumberFormat="1" applyFont="1" applyFill="1" applyBorder="1" applyAlignment="1">
      <alignment horizontal="center" vertical="center"/>
    </xf>
    <xf numFmtId="4" fontId="3" fillId="3" borderId="12" xfId="0" applyNumberFormat="1" applyFont="1" applyFill="1" applyBorder="1" applyAlignment="1">
      <alignment horizontal="center" vertical="center"/>
    </xf>
    <xf numFmtId="4" fontId="18" fillId="11" borderId="12" xfId="0" applyNumberFormat="1" applyFont="1" applyFill="1" applyBorder="1" applyAlignment="1">
      <alignment horizontal="center" vertical="center"/>
    </xf>
    <xf numFmtId="4" fontId="11" fillId="10" borderId="3" xfId="0" applyNumberFormat="1" applyFont="1" applyFill="1" applyBorder="1" applyAlignment="1">
      <alignment horizontal="center" vertical="center"/>
    </xf>
    <xf numFmtId="0" fontId="18" fillId="0" borderId="29" xfId="0" applyFont="1" applyBorder="1" applyAlignment="1">
      <alignment horizontal="center" vertical="top"/>
    </xf>
    <xf numFmtId="0" fontId="18" fillId="0" borderId="76" xfId="0" applyFont="1" applyBorder="1" applyAlignment="1">
      <alignment horizontal="center" vertical="top"/>
    </xf>
    <xf numFmtId="1" fontId="18" fillId="0" borderId="76" xfId="0" applyNumberFormat="1" applyFont="1" applyBorder="1" applyAlignment="1">
      <alignment horizontal="center" vertical="center"/>
    </xf>
    <xf numFmtId="1" fontId="18" fillId="15" borderId="76" xfId="0" applyNumberFormat="1" applyFont="1" applyFill="1" applyBorder="1" applyAlignment="1">
      <alignment horizontal="center" vertical="center"/>
    </xf>
    <xf numFmtId="3" fontId="18" fillId="3" borderId="76" xfId="0" applyNumberFormat="1" applyFont="1" applyFill="1" applyBorder="1" applyAlignment="1">
      <alignment horizontal="center" vertical="center"/>
    </xf>
    <xf numFmtId="3" fontId="18" fillId="11" borderId="76" xfId="0" applyNumberFormat="1" applyFont="1" applyFill="1" applyBorder="1" applyAlignment="1">
      <alignment horizontal="center" vertical="center"/>
    </xf>
    <xf numFmtId="3" fontId="11" fillId="10" borderId="76" xfId="0" applyNumberFormat="1" applyFont="1" applyFill="1" applyBorder="1" applyAlignment="1">
      <alignment horizontal="center" vertical="center"/>
    </xf>
    <xf numFmtId="3" fontId="18" fillId="16" borderId="76" xfId="0" applyNumberFormat="1" applyFont="1" applyFill="1" applyBorder="1" applyAlignment="1">
      <alignment horizontal="center" vertical="center"/>
    </xf>
    <xf numFmtId="0" fontId="27" fillId="0" borderId="30" xfId="0" applyFont="1" applyBorder="1" applyAlignment="1">
      <alignment horizontal="center"/>
    </xf>
    <xf numFmtId="3" fontId="60" fillId="0" borderId="20" xfId="0" applyNumberFormat="1" applyFont="1" applyBorder="1" applyAlignment="1">
      <alignment horizontal="center" vertical="center"/>
    </xf>
    <xf numFmtId="3" fontId="148" fillId="0" borderId="20" xfId="0" applyNumberFormat="1" applyFont="1" applyBorder="1" applyAlignment="1">
      <alignment horizontal="right" vertical="center"/>
    </xf>
    <xf numFmtId="3" fontId="123" fillId="0" borderId="68" xfId="0" applyNumberFormat="1" applyFont="1" applyBorder="1" applyAlignment="1">
      <alignment horizontal="center" vertical="center"/>
    </xf>
    <xf numFmtId="3" fontId="139" fillId="0" borderId="68" xfId="0" applyNumberFormat="1" applyFont="1" applyBorder="1" applyAlignment="1">
      <alignment horizontal="center" vertical="center"/>
    </xf>
    <xf numFmtId="3" fontId="60" fillId="15" borderId="44" xfId="0" applyNumberFormat="1" applyFont="1" applyFill="1" applyBorder="1" applyAlignment="1">
      <alignment horizontal="center" vertical="center"/>
    </xf>
    <xf numFmtId="3" fontId="32" fillId="15" borderId="62" xfId="0" applyNumberFormat="1" applyFont="1" applyFill="1" applyBorder="1" applyAlignment="1">
      <alignment horizontal="center" vertical="center"/>
    </xf>
    <xf numFmtId="3" fontId="32" fillId="15" borderId="61" xfId="0" applyNumberFormat="1" applyFont="1" applyFill="1" applyBorder="1" applyAlignment="1">
      <alignment horizontal="center" vertical="center"/>
    </xf>
    <xf numFmtId="171" fontId="60" fillId="15" borderId="44" xfId="0" applyNumberFormat="1" applyFont="1" applyFill="1" applyBorder="1" applyAlignment="1">
      <alignment horizontal="center" vertical="center"/>
    </xf>
    <xf numFmtId="171" fontId="60" fillId="15" borderId="68" xfId="0" applyNumberFormat="1" applyFont="1" applyFill="1" applyBorder="1" applyAlignment="1">
      <alignment horizontal="center" vertical="center"/>
    </xf>
    <xf numFmtId="3" fontId="148" fillId="15" borderId="60" xfId="0" applyNumberFormat="1" applyFont="1" applyFill="1" applyBorder="1" applyAlignment="1">
      <alignment horizontal="center" vertical="center"/>
    </xf>
    <xf numFmtId="3" fontId="149" fillId="15" borderId="20" xfId="0" applyNumberFormat="1" applyFont="1" applyFill="1" applyBorder="1" applyAlignment="1">
      <alignment horizontal="center" vertical="center"/>
    </xf>
    <xf numFmtId="3" fontId="148" fillId="15" borderId="20" xfId="0" applyNumberFormat="1" applyFont="1" applyFill="1" applyBorder="1" applyAlignment="1">
      <alignment horizontal="center" vertical="center"/>
    </xf>
    <xf numFmtId="3" fontId="148" fillId="15" borderId="46" xfId="0" applyNumberFormat="1" applyFont="1" applyFill="1" applyBorder="1" applyAlignment="1">
      <alignment horizontal="center" vertical="center"/>
    </xf>
    <xf numFmtId="3" fontId="60" fillId="0" borderId="44" xfId="0" applyNumberFormat="1" applyFont="1" applyBorder="1" applyAlignment="1">
      <alignment horizontal="right" vertical="center"/>
    </xf>
    <xf numFmtId="3" fontId="60" fillId="15" borderId="58" xfId="0" applyNumberFormat="1" applyFont="1" applyFill="1" applyBorder="1" applyAlignment="1">
      <alignment horizontal="center" vertical="center"/>
    </xf>
    <xf numFmtId="3" fontId="149" fillId="15" borderId="21" xfId="0" applyNumberFormat="1" applyFont="1" applyFill="1" applyBorder="1" applyAlignment="1">
      <alignment horizontal="center" vertical="center"/>
    </xf>
    <xf numFmtId="0" fontId="27" fillId="0" borderId="68" xfId="0" applyFont="1" applyBorder="1" applyAlignment="1">
      <alignment horizontal="center" vertical="center"/>
    </xf>
    <xf numFmtId="0" fontId="27" fillId="0" borderId="48" xfId="0" applyFont="1" applyBorder="1" applyAlignment="1">
      <alignment horizontal="center" vertical="center"/>
    </xf>
    <xf numFmtId="4" fontId="18" fillId="16" borderId="11" xfId="0" applyNumberFormat="1" applyFont="1" applyFill="1" applyBorder="1" applyAlignment="1">
      <alignment horizontal="center" vertical="center"/>
    </xf>
    <xf numFmtId="3" fontId="18" fillId="16" borderId="65" xfId="0" applyNumberFormat="1" applyFont="1" applyFill="1" applyBorder="1" applyAlignment="1">
      <alignment horizontal="center" vertical="center"/>
    </xf>
    <xf numFmtId="3" fontId="123" fillId="15" borderId="19" xfId="0" applyNumberFormat="1" applyFont="1" applyFill="1" applyBorder="1" applyAlignment="1">
      <alignment horizontal="center" vertical="center"/>
    </xf>
    <xf numFmtId="3" fontId="123" fillId="15" borderId="20" xfId="0" applyNumberFormat="1" applyFont="1" applyFill="1" applyBorder="1" applyAlignment="1">
      <alignment horizontal="center" vertical="center"/>
    </xf>
    <xf numFmtId="0" fontId="121" fillId="15" borderId="59" xfId="0" applyFont="1" applyFill="1" applyBorder="1" applyAlignment="1">
      <alignment horizontal="right" vertical="center"/>
    </xf>
    <xf numFmtId="3" fontId="140" fillId="15" borderId="56" xfId="0" applyNumberFormat="1" applyFont="1" applyFill="1" applyBorder="1" applyAlignment="1">
      <alignment horizontal="center" vertical="center"/>
    </xf>
    <xf numFmtId="3" fontId="123" fillId="15" borderId="56" xfId="0" applyNumberFormat="1" applyFont="1" applyFill="1" applyBorder="1" applyAlignment="1">
      <alignment horizontal="center" vertical="center"/>
    </xf>
    <xf numFmtId="3" fontId="150" fillId="15" borderId="56" xfId="0" applyNumberFormat="1" applyFont="1" applyFill="1" applyBorder="1" applyAlignment="1">
      <alignment horizontal="center" vertical="center"/>
    </xf>
    <xf numFmtId="3" fontId="139" fillId="0" borderId="56" xfId="0" quotePrefix="1" applyNumberFormat="1" applyFont="1" applyBorder="1" applyAlignment="1">
      <alignment horizontal="center" vertical="center"/>
    </xf>
    <xf numFmtId="3" fontId="140" fillId="0" borderId="56" xfId="0" applyNumberFormat="1" applyFont="1" applyBorder="1" applyAlignment="1">
      <alignment horizontal="center" vertical="center"/>
    </xf>
    <xf numFmtId="3" fontId="60" fillId="15" borderId="56" xfId="0" applyNumberFormat="1" applyFont="1" applyFill="1" applyBorder="1" applyAlignment="1">
      <alignment horizontal="center" vertical="center"/>
    </xf>
    <xf numFmtId="3" fontId="60" fillId="0" borderId="56" xfId="0" applyNumberFormat="1" applyFont="1" applyBorder="1" applyAlignment="1">
      <alignment horizontal="left" vertical="center"/>
    </xf>
    <xf numFmtId="3" fontId="140" fillId="0" borderId="67" xfId="0" applyNumberFormat="1" applyFont="1" applyBorder="1" applyAlignment="1">
      <alignment horizontal="center" vertical="center"/>
    </xf>
    <xf numFmtId="4" fontId="18" fillId="0" borderId="79" xfId="0" applyNumberFormat="1" applyFont="1" applyBorder="1" applyAlignment="1">
      <alignment horizontal="center" vertical="center"/>
    </xf>
    <xf numFmtId="3" fontId="18" fillId="0" borderId="23" xfId="0" applyNumberFormat="1" applyFont="1" applyBorder="1" applyAlignment="1">
      <alignment horizontal="center" vertical="center"/>
    </xf>
    <xf numFmtId="4" fontId="18" fillId="16" borderId="71" xfId="0" applyNumberFormat="1" applyFont="1" applyFill="1" applyBorder="1" applyAlignment="1">
      <alignment horizontal="center" vertical="center"/>
    </xf>
    <xf numFmtId="3" fontId="18" fillId="0" borderId="22" xfId="0" applyNumberFormat="1" applyFont="1" applyBorder="1" applyAlignment="1">
      <alignment horizontal="center" vertical="center"/>
    </xf>
    <xf numFmtId="0" fontId="18" fillId="0" borderId="31" xfId="0" applyFont="1" applyBorder="1" applyAlignment="1">
      <alignment horizontal="center" vertical="center" wrapText="1"/>
    </xf>
    <xf numFmtId="3" fontId="147" fillId="0" borderId="72" xfId="0" applyNumberFormat="1" applyFont="1" applyBorder="1" applyAlignment="1">
      <alignment horizontal="center" vertical="center" wrapText="1"/>
    </xf>
    <xf numFmtId="171" fontId="146" fillId="15" borderId="54" xfId="0" applyNumberFormat="1" applyFont="1" applyFill="1" applyBorder="1" applyAlignment="1">
      <alignment horizontal="center" vertical="center"/>
    </xf>
    <xf numFmtId="171" fontId="146" fillId="3" borderId="45" xfId="0" applyNumberFormat="1" applyFont="1" applyFill="1" applyBorder="1" applyAlignment="1">
      <alignment horizontal="center" vertical="center"/>
    </xf>
    <xf numFmtId="171" fontId="146" fillId="11" borderId="45" xfId="0" applyNumberFormat="1" applyFont="1" applyFill="1" applyBorder="1" applyAlignment="1">
      <alignment horizontal="center" vertical="center"/>
    </xf>
    <xf numFmtId="171" fontId="146" fillId="10" borderId="45" xfId="0" applyNumberFormat="1" applyFont="1" applyFill="1" applyBorder="1" applyAlignment="1">
      <alignment horizontal="center" vertical="center"/>
    </xf>
    <xf numFmtId="171" fontId="146" fillId="16" borderId="72" xfId="0" applyNumberFormat="1" applyFont="1" applyFill="1" applyBorder="1" applyAlignment="1">
      <alignment horizontal="center" vertical="center"/>
    </xf>
    <xf numFmtId="171" fontId="146" fillId="0" borderId="63" xfId="0" applyNumberFormat="1" applyFont="1" applyBorder="1" applyAlignment="1">
      <alignment horizontal="center" vertical="center"/>
    </xf>
    <xf numFmtId="3" fontId="146" fillId="0" borderId="60" xfId="0" applyNumberFormat="1" applyFont="1" applyBorder="1" applyAlignment="1">
      <alignment horizontal="center" vertical="center" wrapText="1"/>
    </xf>
    <xf numFmtId="3" fontId="146" fillId="15" borderId="77" xfId="0" applyNumberFormat="1" applyFont="1" applyFill="1" applyBorder="1" applyAlignment="1">
      <alignment horizontal="center" vertical="center"/>
    </xf>
    <xf numFmtId="3" fontId="146" fillId="3" borderId="2" xfId="0" applyNumberFormat="1" applyFont="1" applyFill="1" applyBorder="1" applyAlignment="1">
      <alignment horizontal="center" vertical="center"/>
    </xf>
    <xf numFmtId="3" fontId="146" fillId="11" borderId="9" xfId="0" applyNumberFormat="1" applyFont="1" applyFill="1" applyBorder="1" applyAlignment="1">
      <alignment horizontal="center" vertical="center"/>
    </xf>
    <xf numFmtId="3" fontId="146" fillId="10" borderId="2" xfId="0" applyNumberFormat="1" applyFont="1" applyFill="1" applyBorder="1" applyAlignment="1">
      <alignment horizontal="center" vertical="center"/>
    </xf>
    <xf numFmtId="3" fontId="146" fillId="16" borderId="7" xfId="0" applyNumberFormat="1" applyFont="1" applyFill="1" applyBorder="1" applyAlignment="1">
      <alignment horizontal="center" vertical="center"/>
    </xf>
    <xf numFmtId="3" fontId="146" fillId="0" borderId="75" xfId="0" applyNumberFormat="1" applyFont="1" applyBorder="1" applyAlignment="1">
      <alignment horizontal="center" vertical="center"/>
    </xf>
    <xf numFmtId="3" fontId="146" fillId="0" borderId="55" xfId="0" applyNumberFormat="1" applyFont="1" applyBorder="1" applyAlignment="1">
      <alignment horizontal="center" vertical="center" wrapText="1"/>
    </xf>
    <xf numFmtId="3" fontId="146" fillId="15" borderId="58" xfId="0" applyNumberFormat="1" applyFont="1" applyFill="1" applyBorder="1" applyAlignment="1">
      <alignment horizontal="center" vertical="center"/>
    </xf>
    <xf numFmtId="3" fontId="119" fillId="0" borderId="0" xfId="0" applyNumberFormat="1" applyFont="1" applyAlignment="1">
      <alignment horizontal="center" vertical="top"/>
    </xf>
    <xf numFmtId="0" fontId="0" fillId="0" borderId="16" xfId="0" applyBorder="1" applyAlignment="1">
      <alignment horizontal="center" vertical="center" wrapText="1"/>
    </xf>
    <xf numFmtId="3" fontId="45" fillId="23" borderId="44" xfId="0" applyNumberFormat="1" applyFont="1" applyFill="1" applyBorder="1" applyAlignment="1">
      <alignment horizontal="center" vertical="center"/>
    </xf>
    <xf numFmtId="3" fontId="32" fillId="0" borderId="16" xfId="0" applyNumberFormat="1" applyFont="1" applyBorder="1" applyAlignment="1">
      <alignment horizontal="left" vertical="center"/>
    </xf>
    <xf numFmtId="3" fontId="116" fillId="0" borderId="16" xfId="0" applyNumberFormat="1" applyFont="1" applyBorder="1" applyAlignment="1">
      <alignment horizontal="center" vertical="center"/>
    </xf>
    <xf numFmtId="3" fontId="45" fillId="22" borderId="44" xfId="0" applyNumberFormat="1" applyFont="1" applyFill="1" applyBorder="1" applyAlignment="1">
      <alignment horizontal="center" vertical="center"/>
    </xf>
    <xf numFmtId="3" fontId="119" fillId="0" borderId="16" xfId="0" applyNumberFormat="1" applyFont="1" applyBorder="1" applyAlignment="1">
      <alignment horizontal="center" vertical="center"/>
    </xf>
    <xf numFmtId="3" fontId="45" fillId="22" borderId="54" xfId="0" applyNumberFormat="1" applyFont="1" applyFill="1" applyBorder="1" applyAlignment="1">
      <alignment horizontal="center" vertical="center"/>
    </xf>
    <xf numFmtId="3" fontId="157" fillId="0" borderId="0" xfId="0" applyNumberFormat="1" applyFont="1" applyAlignment="1">
      <alignment horizontal="center" vertical="top" wrapText="1"/>
    </xf>
    <xf numFmtId="3" fontId="157" fillId="0" borderId="18" xfId="0" applyNumberFormat="1" applyFont="1" applyBorder="1" applyAlignment="1">
      <alignment horizontal="center" vertical="top" wrapText="1"/>
    </xf>
    <xf numFmtId="0" fontId="155" fillId="0" borderId="0" xfId="0" applyFont="1" applyAlignment="1">
      <alignment horizontal="center" vertical="top" wrapText="1"/>
    </xf>
    <xf numFmtId="0" fontId="144" fillId="0" borderId="47" xfId="0" applyFont="1" applyBorder="1" applyAlignment="1">
      <alignment horizontal="center" vertical="center" wrapText="1"/>
    </xf>
    <xf numFmtId="3" fontId="143" fillId="0" borderId="19" xfId="0" applyNumberFormat="1" applyFont="1" applyBorder="1" applyAlignment="1">
      <alignment horizontal="center" vertical="center"/>
    </xf>
    <xf numFmtId="3" fontId="146" fillId="0" borderId="44" xfId="0" applyNumberFormat="1" applyFont="1" applyBorder="1" applyAlignment="1">
      <alignment horizontal="center" vertical="center" wrapText="1"/>
    </xf>
    <xf numFmtId="3" fontId="153" fillId="0" borderId="21" xfId="0" applyNumberFormat="1" applyFont="1" applyBorder="1" applyAlignment="1">
      <alignment horizontal="center" vertical="center"/>
    </xf>
    <xf numFmtId="0" fontId="2" fillId="0" borderId="15" xfId="0" applyFont="1" applyBorder="1" applyAlignment="1">
      <alignment horizontal="center" vertical="center" wrapText="1"/>
    </xf>
    <xf numFmtId="3" fontId="48" fillId="0" borderId="16" xfId="0" applyNumberFormat="1" applyFont="1" applyBorder="1" applyAlignment="1">
      <alignment horizontal="right" vertical="center"/>
    </xf>
    <xf numFmtId="3" fontId="146" fillId="0" borderId="54" xfId="0" applyNumberFormat="1" applyFont="1" applyBorder="1" applyAlignment="1">
      <alignment horizontal="center" vertical="center" wrapText="1"/>
    </xf>
    <xf numFmtId="0" fontId="144" fillId="0" borderId="52" xfId="0" applyFont="1" applyBorder="1" applyAlignment="1">
      <alignment horizontal="center" vertical="center" wrapText="1"/>
    </xf>
    <xf numFmtId="165" fontId="18" fillId="3" borderId="52" xfId="0" applyNumberFormat="1" applyFont="1" applyFill="1" applyBorder="1" applyAlignment="1" applyProtection="1">
      <alignment horizontal="center" vertical="center"/>
      <protection locked="0"/>
    </xf>
    <xf numFmtId="165" fontId="18" fillId="3" borderId="39" xfId="0" applyNumberFormat="1" applyFont="1" applyFill="1" applyBorder="1" applyAlignment="1" applyProtection="1">
      <alignment horizontal="center" vertical="center"/>
      <protection locked="0"/>
    </xf>
    <xf numFmtId="165" fontId="18" fillId="3" borderId="49" xfId="0" applyNumberFormat="1" applyFont="1" applyFill="1" applyBorder="1" applyAlignment="1" applyProtection="1">
      <alignment horizontal="center" vertical="center"/>
      <protection locked="0"/>
    </xf>
    <xf numFmtId="165" fontId="18" fillId="3" borderId="48" xfId="0" applyNumberFormat="1" applyFont="1" applyFill="1" applyBorder="1" applyAlignment="1" applyProtection="1">
      <alignment horizontal="center" vertical="center"/>
      <protection locked="0"/>
    </xf>
    <xf numFmtId="165" fontId="18" fillId="3" borderId="41" xfId="0" applyNumberFormat="1" applyFont="1" applyFill="1" applyBorder="1" applyAlignment="1" applyProtection="1">
      <alignment horizontal="center" vertical="center"/>
      <protection locked="0"/>
    </xf>
    <xf numFmtId="165" fontId="18" fillId="3" borderId="36" xfId="0" applyNumberFormat="1" applyFont="1" applyFill="1" applyBorder="1" applyAlignment="1" applyProtection="1">
      <alignment horizontal="center" vertical="center"/>
      <protection locked="0"/>
    </xf>
    <xf numFmtId="165" fontId="1" fillId="3" borderId="68" xfId="0" applyNumberFormat="1" applyFont="1" applyFill="1" applyBorder="1" applyAlignment="1" applyProtection="1">
      <alignment horizontal="center" vertical="center"/>
      <protection locked="0"/>
    </xf>
    <xf numFmtId="165" fontId="1" fillId="3" borderId="3" xfId="0" applyNumberFormat="1" applyFont="1" applyFill="1" applyBorder="1" applyAlignment="1" applyProtection="1">
      <alignment horizontal="center" vertical="center"/>
      <protection locked="0"/>
    </xf>
    <xf numFmtId="165" fontId="1" fillId="3" borderId="35" xfId="0" applyNumberFormat="1" applyFont="1" applyFill="1" applyBorder="1" applyAlignment="1" applyProtection="1">
      <alignment horizontal="center" vertical="center"/>
      <protection locked="0"/>
    </xf>
    <xf numFmtId="167" fontId="1" fillId="3" borderId="58" xfId="0" applyNumberFormat="1" applyFont="1" applyFill="1" applyBorder="1" applyAlignment="1" applyProtection="1">
      <alignment horizontal="center" vertical="center"/>
      <protection locked="0"/>
    </xf>
    <xf numFmtId="167" fontId="1" fillId="3" borderId="2" xfId="0" applyNumberFormat="1" applyFont="1" applyFill="1" applyBorder="1" applyAlignment="1" applyProtection="1">
      <alignment horizontal="center" vertical="center"/>
      <protection locked="0"/>
    </xf>
    <xf numFmtId="167" fontId="1" fillId="3" borderId="60" xfId="0" applyNumberFormat="1" applyFont="1" applyFill="1" applyBorder="1" applyAlignment="1" applyProtection="1">
      <alignment horizontal="center" vertical="center"/>
      <protection locked="0"/>
    </xf>
    <xf numFmtId="165" fontId="27" fillId="3" borderId="10" xfId="0" applyNumberFormat="1" applyFont="1" applyFill="1" applyBorder="1" applyAlignment="1" applyProtection="1">
      <alignment horizontal="center" vertical="center"/>
      <protection locked="0"/>
    </xf>
    <xf numFmtId="165" fontId="27" fillId="3" borderId="4" xfId="0" applyNumberFormat="1" applyFont="1" applyFill="1" applyBorder="1" applyAlignment="1" applyProtection="1">
      <alignment horizontal="center" vertical="center"/>
      <protection locked="0"/>
    </xf>
    <xf numFmtId="165" fontId="0" fillId="3" borderId="47" xfId="1" applyNumberFormat="1" applyFont="1" applyFill="1" applyBorder="1" applyAlignment="1" applyProtection="1">
      <alignment horizontal="center" vertical="center"/>
      <protection locked="0"/>
    </xf>
    <xf numFmtId="165" fontId="0" fillId="3" borderId="40" xfId="1" applyNumberFormat="1" applyFont="1" applyFill="1" applyBorder="1" applyAlignment="1" applyProtection="1">
      <alignment horizontal="center" vertical="center"/>
      <protection locked="0"/>
    </xf>
    <xf numFmtId="167" fontId="1" fillId="3" borderId="54" xfId="0" applyNumberFormat="1" applyFont="1" applyFill="1" applyBorder="1" applyAlignment="1" applyProtection="1">
      <alignment horizontal="center" vertical="center"/>
      <protection locked="0"/>
    </xf>
    <xf numFmtId="167" fontId="1" fillId="3" borderId="45" xfId="0" applyNumberFormat="1" applyFont="1" applyFill="1" applyBorder="1" applyAlignment="1" applyProtection="1">
      <alignment horizontal="center" vertical="center"/>
      <protection locked="0"/>
    </xf>
    <xf numFmtId="165" fontId="18" fillId="3" borderId="53" xfId="0" applyNumberFormat="1" applyFont="1" applyFill="1" applyBorder="1" applyAlignment="1" applyProtection="1">
      <alignment horizontal="center" vertical="center"/>
      <protection locked="0"/>
    </xf>
    <xf numFmtId="165" fontId="1" fillId="3" borderId="44" xfId="0" applyNumberFormat="1" applyFont="1" applyFill="1" applyBorder="1" applyAlignment="1" applyProtection="1">
      <alignment horizontal="center" vertical="center"/>
      <protection locked="0"/>
    </xf>
    <xf numFmtId="165" fontId="1" fillId="3" borderId="1" xfId="0" applyNumberFormat="1" applyFont="1" applyFill="1" applyBorder="1" applyAlignment="1" applyProtection="1">
      <alignment horizontal="center" vertical="center"/>
      <protection locked="0"/>
    </xf>
    <xf numFmtId="165" fontId="18" fillId="3" borderId="57" xfId="0" applyNumberFormat="1" applyFont="1" applyFill="1" applyBorder="1" applyAlignment="1" applyProtection="1">
      <alignment horizontal="center" vertical="center"/>
      <protection locked="0"/>
    </xf>
    <xf numFmtId="165" fontId="1" fillId="3" borderId="21" xfId="0" applyNumberFormat="1" applyFont="1" applyFill="1" applyBorder="1" applyAlignment="1" applyProtection="1">
      <alignment horizontal="center" vertical="center"/>
      <protection locked="0"/>
    </xf>
    <xf numFmtId="165" fontId="0" fillId="3" borderId="47" xfId="0" applyNumberFormat="1" applyFill="1" applyBorder="1" applyAlignment="1" applyProtection="1">
      <alignment horizontal="center" vertical="center"/>
      <protection locked="0"/>
    </xf>
    <xf numFmtId="165" fontId="0" fillId="3" borderId="40" xfId="0" applyNumberFormat="1" applyFill="1" applyBorder="1" applyAlignment="1" applyProtection="1">
      <alignment horizontal="center" vertical="center"/>
      <protection locked="0"/>
    </xf>
    <xf numFmtId="165" fontId="0" fillId="3" borderId="34" xfId="0" applyNumberFormat="1" applyFill="1" applyBorder="1" applyAlignment="1" applyProtection="1">
      <alignment horizontal="center" vertical="center"/>
      <protection locked="0"/>
    </xf>
    <xf numFmtId="165" fontId="0" fillId="3" borderId="56" xfId="0" applyNumberFormat="1" applyFill="1" applyBorder="1" applyAlignment="1" applyProtection="1">
      <alignment horizontal="center" vertical="center"/>
      <protection locked="0"/>
    </xf>
    <xf numFmtId="1" fontId="0" fillId="3" borderId="44" xfId="0" applyNumberFormat="1" applyFill="1" applyBorder="1" applyAlignment="1" applyProtection="1">
      <alignment horizontal="center" vertical="center"/>
      <protection locked="0"/>
    </xf>
    <xf numFmtId="1" fontId="0" fillId="3" borderId="54" xfId="0" applyNumberFormat="1" applyFill="1" applyBorder="1" applyAlignment="1" applyProtection="1">
      <alignment horizontal="center" vertical="center"/>
      <protection locked="0"/>
    </xf>
    <xf numFmtId="1" fontId="0" fillId="3" borderId="45" xfId="0" applyNumberFormat="1" applyFill="1" applyBorder="1" applyAlignment="1" applyProtection="1">
      <alignment horizontal="center" vertical="center"/>
      <protection locked="0"/>
    </xf>
    <xf numFmtId="1" fontId="0" fillId="3" borderId="55" xfId="0" applyNumberFormat="1" applyFill="1" applyBorder="1" applyAlignment="1" applyProtection="1">
      <alignment horizontal="center" vertical="center"/>
      <protection locked="0"/>
    </xf>
    <xf numFmtId="167" fontId="1" fillId="3" borderId="55" xfId="0" applyNumberFormat="1" applyFont="1" applyFill="1" applyBorder="1" applyAlignment="1" applyProtection="1">
      <alignment horizontal="center" vertical="center"/>
      <protection locked="0"/>
    </xf>
    <xf numFmtId="1" fontId="27" fillId="3" borderId="52" xfId="0" applyNumberFormat="1" applyFont="1" applyFill="1" applyBorder="1" applyAlignment="1" applyProtection="1">
      <alignment horizontal="center" vertical="center"/>
      <protection locked="0"/>
    </xf>
    <xf numFmtId="1" fontId="27" fillId="3" borderId="39" xfId="0" applyNumberFormat="1" applyFont="1" applyFill="1" applyBorder="1" applyAlignment="1" applyProtection="1">
      <alignment horizontal="center" vertical="center"/>
      <protection locked="0"/>
    </xf>
    <xf numFmtId="165" fontId="0" fillId="3" borderId="73" xfId="1" applyNumberFormat="1" applyFont="1" applyFill="1" applyBorder="1" applyAlignment="1" applyProtection="1">
      <alignment horizontal="center" vertical="center"/>
      <protection locked="0"/>
    </xf>
    <xf numFmtId="165" fontId="27" fillId="3" borderId="52" xfId="0" applyNumberFormat="1" applyFont="1" applyFill="1" applyBorder="1" applyAlignment="1" applyProtection="1">
      <alignment horizontal="center" vertical="center"/>
      <protection locked="0"/>
    </xf>
    <xf numFmtId="165" fontId="0" fillId="3" borderId="44" xfId="0" applyNumberFormat="1" applyFill="1" applyBorder="1" applyAlignment="1" applyProtection="1">
      <alignment horizontal="center" vertical="center"/>
      <protection locked="0"/>
    </xf>
    <xf numFmtId="165" fontId="27" fillId="3" borderId="39" xfId="0" applyNumberFormat="1" applyFont="1" applyFill="1" applyBorder="1" applyAlignment="1" applyProtection="1">
      <alignment horizontal="center" vertical="center"/>
      <protection locked="0"/>
    </xf>
    <xf numFmtId="1" fontId="0" fillId="5" borderId="1" xfId="0" applyNumberFormat="1" applyFill="1" applyBorder="1" applyAlignment="1" applyProtection="1">
      <alignment horizontal="center" vertical="center"/>
      <protection locked="0"/>
    </xf>
    <xf numFmtId="1" fontId="23" fillId="5" borderId="1" xfId="0" applyNumberFormat="1" applyFont="1" applyFill="1" applyBorder="1" applyAlignment="1" applyProtection="1">
      <alignment horizontal="center" vertical="center"/>
      <protection locked="0"/>
    </xf>
    <xf numFmtId="167" fontId="18" fillId="3" borderId="0" xfId="0" applyNumberFormat="1" applyFont="1" applyFill="1" applyAlignment="1" applyProtection="1">
      <alignment horizontal="center" vertical="center"/>
      <protection locked="0"/>
    </xf>
    <xf numFmtId="1" fontId="0" fillId="3" borderId="6" xfId="0" applyNumberFormat="1" applyFill="1" applyBorder="1" applyAlignment="1" applyProtection="1">
      <alignment horizontal="center" vertical="center" wrapText="1"/>
      <protection locked="0"/>
    </xf>
    <xf numFmtId="1" fontId="0" fillId="0" borderId="6" xfId="0" applyNumberFormat="1" applyBorder="1" applyAlignment="1">
      <alignment horizontal="center" vertical="center" wrapText="1"/>
    </xf>
    <xf numFmtId="1" fontId="15" fillId="9" borderId="1" xfId="0" applyNumberFormat="1" applyFont="1" applyFill="1" applyBorder="1" applyAlignment="1" applyProtection="1">
      <alignment horizontal="center" vertical="center" wrapText="1"/>
      <protection locked="0"/>
    </xf>
    <xf numFmtId="1" fontId="27" fillId="3" borderId="1" xfId="0" applyNumberFormat="1" applyFont="1" applyFill="1" applyBorder="1" applyAlignment="1" applyProtection="1">
      <alignment horizontal="center" vertical="center"/>
      <protection locked="0"/>
    </xf>
    <xf numFmtId="165" fontId="18" fillId="3" borderId="1" xfId="0" applyNumberFormat="1" applyFont="1" applyFill="1" applyBorder="1" applyAlignment="1" applyProtection="1">
      <alignment horizontal="center" vertical="center"/>
      <protection locked="0"/>
    </xf>
    <xf numFmtId="3" fontId="48" fillId="0" borderId="62" xfId="0" applyNumberFormat="1" applyFont="1" applyBorder="1" applyAlignment="1">
      <alignment horizontal="center" vertical="center" wrapText="1"/>
    </xf>
    <xf numFmtId="3" fontId="48" fillId="0" borderId="0" xfId="0" applyNumberFormat="1" applyFont="1" applyAlignment="1">
      <alignment horizontal="center" vertical="center" wrapText="1"/>
    </xf>
    <xf numFmtId="3" fontId="48" fillId="23" borderId="44" xfId="0" applyNumberFormat="1" applyFont="1" applyFill="1" applyBorder="1" applyAlignment="1">
      <alignment horizontal="center" vertical="center"/>
    </xf>
    <xf numFmtId="0" fontId="160" fillId="0" borderId="0" xfId="0" applyFont="1" applyAlignment="1">
      <alignment horizontal="center" vertical="center"/>
    </xf>
    <xf numFmtId="0" fontId="118" fillId="0" borderId="0" xfId="0" applyFont="1" applyAlignment="1">
      <alignment horizontal="left" vertical="center" wrapText="1"/>
    </xf>
    <xf numFmtId="0" fontId="160" fillId="0" borderId="0" xfId="0" applyFont="1" applyAlignment="1">
      <alignment vertical="center" wrapText="1"/>
    </xf>
    <xf numFmtId="0" fontId="148" fillId="0" borderId="0" xfId="0" applyFont="1" applyAlignment="1">
      <alignment horizontal="left" vertical="center" wrapText="1"/>
    </xf>
    <xf numFmtId="0" fontId="148" fillId="0" borderId="0" xfId="0" applyFont="1" applyAlignment="1">
      <alignment vertical="center" wrapText="1"/>
    </xf>
    <xf numFmtId="0" fontId="18" fillId="0" borderId="0" xfId="0" applyFont="1" applyAlignment="1">
      <alignment horizontal="left" vertical="center" wrapText="1"/>
    </xf>
    <xf numFmtId="0" fontId="18" fillId="0" borderId="0" xfId="0" applyFont="1" applyAlignment="1">
      <alignment vertical="center" wrapText="1"/>
    </xf>
    <xf numFmtId="0" fontId="27" fillId="0" borderId="0" xfId="0" applyFont="1" applyAlignment="1">
      <alignment horizontal="left" vertical="center" wrapText="1"/>
    </xf>
    <xf numFmtId="0" fontId="34" fillId="14" borderId="0" xfId="0" applyFont="1" applyFill="1" applyAlignment="1">
      <alignment horizontal="left" vertical="center" wrapText="1"/>
    </xf>
    <xf numFmtId="0" fontId="21" fillId="14" borderId="0" xfId="0" applyFont="1" applyFill="1" applyAlignment="1">
      <alignment horizontal="left" vertical="center" wrapText="1"/>
    </xf>
    <xf numFmtId="0" fontId="39" fillId="21" borderId="0" xfId="0" applyFont="1" applyFill="1" applyAlignment="1">
      <alignment horizontal="left" vertical="center" wrapText="1"/>
    </xf>
    <xf numFmtId="0" fontId="27" fillId="20" borderId="0" xfId="0" applyFont="1" applyFill="1" applyAlignment="1">
      <alignment horizontal="left" vertical="center" wrapText="1"/>
    </xf>
    <xf numFmtId="0" fontId="0" fillId="20" borderId="0" xfId="0" applyFill="1" applyAlignment="1">
      <alignment horizontal="left" vertical="center" wrapText="1"/>
    </xf>
    <xf numFmtId="0" fontId="0" fillId="0" borderId="0" xfId="0" applyAlignment="1">
      <alignment horizontal="left" vertical="center" wrapText="1"/>
    </xf>
    <xf numFmtId="0" fontId="32" fillId="0" borderId="0" xfId="0" applyFont="1" applyAlignment="1">
      <alignment horizontal="left" vertical="center" wrapText="1"/>
    </xf>
    <xf numFmtId="0" fontId="21" fillId="0" borderId="0" xfId="0" applyFont="1" applyAlignment="1">
      <alignment vertical="center" wrapText="1"/>
    </xf>
    <xf numFmtId="0" fontId="1" fillId="0" borderId="0" xfId="0" applyFont="1" applyAlignment="1">
      <alignment horizontal="left" vertical="center" wrapText="1"/>
    </xf>
    <xf numFmtId="0" fontId="0" fillId="0" borderId="0" xfId="0" applyAlignment="1">
      <alignment vertical="center"/>
    </xf>
    <xf numFmtId="0" fontId="27" fillId="13" borderId="0" xfId="0" applyFont="1" applyFill="1" applyAlignment="1">
      <alignment horizontal="left" vertical="center" wrapText="1"/>
    </xf>
    <xf numFmtId="0" fontId="26" fillId="2" borderId="0" xfId="0" applyFont="1" applyFill="1" applyAlignment="1">
      <alignment horizontal="center" vertical="center"/>
    </xf>
    <xf numFmtId="0" fontId="3" fillId="0" borderId="0" xfId="0" applyFont="1" applyAlignment="1">
      <alignment vertical="center"/>
    </xf>
    <xf numFmtId="0" fontId="26" fillId="3" borderId="0" xfId="0" applyFont="1" applyFill="1" applyAlignment="1">
      <alignment horizontal="center" vertical="center"/>
    </xf>
    <xf numFmtId="0" fontId="27" fillId="17" borderId="0" xfId="0" applyFont="1" applyFill="1" applyAlignment="1">
      <alignment horizontal="left" vertical="center" wrapText="1"/>
    </xf>
    <xf numFmtId="0" fontId="11" fillId="0" borderId="25"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18" xfId="0" applyFont="1" applyBorder="1" applyAlignment="1">
      <alignment horizontal="center" vertical="center" textRotation="90" wrapText="1"/>
    </xf>
    <xf numFmtId="0" fontId="27" fillId="0" borderId="46" xfId="0" applyFont="1" applyBorder="1" applyAlignment="1">
      <alignment horizontal="center" vertical="center" textRotation="90" wrapText="1"/>
    </xf>
    <xf numFmtId="0" fontId="26" fillId="0" borderId="69" xfId="0" applyFont="1" applyBorder="1" applyAlignment="1">
      <alignment horizontal="center" vertical="center" wrapText="1"/>
    </xf>
    <xf numFmtId="0" fontId="26" fillId="0" borderId="33" xfId="0" applyFont="1" applyBorder="1" applyAlignment="1">
      <alignment horizontal="center" vertical="center" wrapText="1"/>
    </xf>
    <xf numFmtId="0" fontId="0" fillId="0" borderId="1" xfId="0" applyBorder="1" applyAlignment="1">
      <alignment horizontal="center" vertical="center" wrapText="1"/>
    </xf>
    <xf numFmtId="0" fontId="18" fillId="0" borderId="25" xfId="0" applyFont="1" applyBorder="1" applyAlignment="1">
      <alignment horizontal="center" vertical="center" wrapText="1"/>
    </xf>
    <xf numFmtId="0" fontId="105" fillId="0" borderId="1" xfId="0" applyFont="1" applyBorder="1" applyAlignment="1">
      <alignment horizontal="center" vertical="center" wrapText="1"/>
    </xf>
    <xf numFmtId="0" fontId="11" fillId="0" borderId="25" xfId="0" applyFont="1" applyBorder="1" applyAlignment="1">
      <alignment horizontal="center" vertical="center"/>
    </xf>
    <xf numFmtId="0" fontId="11" fillId="0" borderId="1" xfId="0" applyFont="1" applyBorder="1" applyAlignment="1">
      <alignment horizontal="center" vertical="center"/>
    </xf>
    <xf numFmtId="0" fontId="9" fillId="0" borderId="16" xfId="0" applyFont="1" applyBorder="1" applyAlignment="1">
      <alignment horizontal="center" vertical="center" wrapText="1"/>
    </xf>
    <xf numFmtId="0" fontId="0" fillId="0" borderId="1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18" fillId="0" borderId="17" xfId="0" applyFont="1" applyBorder="1" applyAlignment="1">
      <alignment horizontal="center" vertical="center" wrapText="1"/>
    </xf>
    <xf numFmtId="0" fontId="18" fillId="0" borderId="19" xfId="0" applyFont="1" applyBorder="1" applyAlignment="1">
      <alignment horizontal="center" vertical="center" wrapText="1"/>
    </xf>
    <xf numFmtId="0" fontId="27" fillId="0" borderId="0" xfId="0" applyFont="1" applyAlignment="1">
      <alignment horizontal="center" vertical="center" textRotation="90" wrapText="1"/>
    </xf>
    <xf numFmtId="0" fontId="27" fillId="0" borderId="20" xfId="0" applyFont="1" applyBorder="1" applyAlignment="1">
      <alignment horizontal="center" vertical="center" textRotation="90" wrapText="1"/>
    </xf>
    <xf numFmtId="0" fontId="1" fillId="0" borderId="15" xfId="0" applyFont="1" applyBorder="1" applyAlignment="1">
      <alignment horizontal="center" vertical="center" textRotation="90" wrapText="1"/>
    </xf>
    <xf numFmtId="0" fontId="1" fillId="0" borderId="19" xfId="0" applyFont="1" applyBorder="1" applyAlignment="1">
      <alignment horizontal="center" vertical="center" textRotation="90" wrapText="1"/>
    </xf>
    <xf numFmtId="0" fontId="18" fillId="0" borderId="54"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0" xfId="0" applyFont="1" applyAlignment="1">
      <alignment horizontal="center" vertical="center" wrapText="1"/>
    </xf>
    <xf numFmtId="0" fontId="18" fillId="0" borderId="20" xfId="0" applyFont="1" applyBorder="1" applyAlignment="1">
      <alignment horizontal="center" vertical="center" wrapText="1"/>
    </xf>
    <xf numFmtId="0" fontId="18" fillId="0" borderId="15" xfId="0" applyFont="1" applyBorder="1" applyAlignment="1">
      <alignment horizontal="center" vertical="center" wrapText="1"/>
    </xf>
    <xf numFmtId="0" fontId="27" fillId="0" borderId="16" xfId="0" applyFont="1" applyBorder="1" applyAlignment="1">
      <alignment horizontal="center" vertical="center"/>
    </xf>
    <xf numFmtId="0" fontId="27" fillId="0" borderId="28" xfId="0" applyFont="1" applyBorder="1" applyAlignment="1">
      <alignment horizontal="center" vertical="center"/>
    </xf>
    <xf numFmtId="0" fontId="1" fillId="0" borderId="19" xfId="0" applyFont="1" applyBorder="1" applyAlignment="1">
      <alignment horizontal="center" vertical="center" wrapText="1"/>
    </xf>
    <xf numFmtId="0" fontId="0" fillId="0" borderId="46" xfId="0" applyBorder="1" applyAlignment="1">
      <alignment horizontal="center" vertical="center"/>
    </xf>
    <xf numFmtId="3" fontId="18" fillId="0" borderId="29" xfId="0" applyNumberFormat="1" applyFont="1" applyBorder="1" applyAlignment="1">
      <alignment horizontal="center" vertical="center" wrapText="1"/>
    </xf>
    <xf numFmtId="0" fontId="0" fillId="0" borderId="30" xfId="0" applyBorder="1" applyAlignment="1">
      <alignment horizontal="center" vertical="center" wrapText="1"/>
    </xf>
    <xf numFmtId="0" fontId="48" fillId="0" borderId="25" xfId="0" applyFont="1" applyBorder="1" applyAlignment="1">
      <alignment horizontal="center" vertical="center"/>
    </xf>
    <xf numFmtId="0" fontId="21" fillId="0" borderId="25" xfId="0" applyFont="1" applyBorder="1" applyAlignment="1">
      <alignment horizontal="center" vertical="center"/>
    </xf>
    <xf numFmtId="3" fontId="1" fillId="0" borderId="47" xfId="0" applyNumberFormat="1" applyFont="1" applyBorder="1" applyAlignment="1">
      <alignment horizontal="center" vertical="center" wrapText="1"/>
    </xf>
    <xf numFmtId="0" fontId="1" fillId="0" borderId="48" xfId="0" applyFont="1" applyBorder="1" applyAlignment="1">
      <alignment horizontal="center" vertical="center" wrapText="1"/>
    </xf>
    <xf numFmtId="0" fontId="2" fillId="0" borderId="47" xfId="0" applyFont="1" applyBorder="1" applyAlignment="1">
      <alignment horizontal="center" vertical="center" wrapText="1"/>
    </xf>
    <xf numFmtId="0" fontId="40" fillId="0" borderId="48"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1" xfId="0" applyFont="1" applyBorder="1" applyAlignment="1">
      <alignment horizontal="center" vertical="center" wrapText="1"/>
    </xf>
    <xf numFmtId="0" fontId="48" fillId="0" borderId="7" xfId="0" applyFont="1" applyBorder="1" applyAlignment="1">
      <alignment horizontal="center" vertical="center" wrapText="1"/>
    </xf>
    <xf numFmtId="0" fontId="47" fillId="0" borderId="8" xfId="0" applyFont="1" applyBorder="1" applyAlignment="1">
      <alignment horizontal="center" vertical="center" wrapText="1"/>
    </xf>
    <xf numFmtId="0" fontId="47" fillId="0" borderId="6" xfId="0" applyFont="1" applyBorder="1" applyAlignment="1">
      <alignment horizontal="center" vertical="center" wrapText="1"/>
    </xf>
    <xf numFmtId="0" fontId="47" fillId="0" borderId="5" xfId="0" applyFont="1" applyBorder="1" applyAlignment="1">
      <alignment horizontal="center" vertical="center" wrapText="1"/>
    </xf>
    <xf numFmtId="0" fontId="40" fillId="0" borderId="6" xfId="0" applyFont="1" applyBorder="1" applyAlignment="1">
      <alignment horizontal="center" vertical="center" wrapText="1"/>
    </xf>
    <xf numFmtId="0" fontId="40" fillId="0" borderId="5" xfId="0" applyFont="1" applyBorder="1" applyAlignment="1">
      <alignment horizontal="center" vertical="center" wrapText="1"/>
    </xf>
    <xf numFmtId="0" fontId="40" fillId="0" borderId="9" xfId="0" applyFont="1" applyBorder="1" applyAlignment="1">
      <alignment horizontal="center" vertical="center" wrapText="1"/>
    </xf>
    <xf numFmtId="0" fontId="40" fillId="0" borderId="10" xfId="0" applyFont="1" applyBorder="1" applyAlignment="1">
      <alignment horizontal="center" vertical="center" wrapText="1"/>
    </xf>
    <xf numFmtId="0" fontId="41" fillId="0" borderId="7" xfId="0" applyFont="1" applyBorder="1" applyAlignment="1">
      <alignment horizontal="center" vertical="center" wrapText="1"/>
    </xf>
    <xf numFmtId="0" fontId="42" fillId="0" borderId="11" xfId="0" applyFont="1" applyBorder="1" applyAlignment="1">
      <alignment horizontal="center" vertical="center" wrapText="1"/>
    </xf>
    <xf numFmtId="0" fontId="27" fillId="0" borderId="11" xfId="0" applyFont="1" applyBorder="1" applyAlignment="1">
      <alignment horizontal="center" vertical="center" wrapText="1"/>
    </xf>
    <xf numFmtId="0" fontId="0" fillId="0" borderId="11" xfId="0" applyBorder="1" applyAlignment="1">
      <alignment horizontal="center" vertical="center"/>
    </xf>
    <xf numFmtId="0" fontId="0" fillId="0" borderId="8" xfId="0" applyBorder="1" applyAlignment="1">
      <alignment horizontal="center" vertical="center"/>
    </xf>
    <xf numFmtId="0" fontId="42" fillId="0" borderId="6" xfId="0" applyFont="1" applyBorder="1" applyAlignment="1">
      <alignment horizontal="center" vertical="center" wrapText="1"/>
    </xf>
    <xf numFmtId="0" fontId="42" fillId="0" borderId="0" xfId="0" applyFont="1" applyAlignment="1">
      <alignment horizontal="center" vertical="center" wrapText="1"/>
    </xf>
    <xf numFmtId="0" fontId="27" fillId="0" borderId="0" xfId="0" applyFont="1" applyAlignment="1">
      <alignment horizontal="center" vertical="center" wrapText="1"/>
    </xf>
    <xf numFmtId="0" fontId="0" fillId="0" borderId="0" xfId="0" applyAlignment="1">
      <alignment horizontal="center" vertical="center"/>
    </xf>
    <xf numFmtId="0" fontId="0" fillId="0" borderId="5" xfId="0" applyBorder="1" applyAlignment="1">
      <alignment horizontal="center" vertical="center"/>
    </xf>
    <xf numFmtId="0" fontId="27" fillId="0" borderId="6"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12" xfId="0" applyFont="1" applyBorder="1" applyAlignment="1">
      <alignment horizontal="center" vertical="center" wrapText="1"/>
    </xf>
    <xf numFmtId="0" fontId="0" fillId="0" borderId="12"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wrapText="1"/>
    </xf>
    <xf numFmtId="0" fontId="0" fillId="0" borderId="5"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41" fillId="0" borderId="1" xfId="0" applyFont="1" applyBorder="1" applyAlignment="1">
      <alignment horizontal="center" vertical="center" wrapText="1"/>
    </xf>
    <xf numFmtId="0" fontId="27" fillId="0" borderId="1" xfId="0" applyFont="1" applyBorder="1" applyAlignment="1">
      <alignment horizontal="center" vertical="center"/>
    </xf>
    <xf numFmtId="0" fontId="0" fillId="0" borderId="1" xfId="0" applyBorder="1" applyAlignment="1">
      <alignment horizontal="center" vertical="center"/>
    </xf>
    <xf numFmtId="0" fontId="0" fillId="3" borderId="15" xfId="0" applyFill="1" applyBorder="1" applyAlignment="1" applyProtection="1">
      <alignment horizontal="center" vertical="center" wrapText="1"/>
      <protection locked="0"/>
    </xf>
    <xf numFmtId="0" fontId="0" fillId="0" borderId="28" xfId="0" applyBorder="1" applyAlignment="1" applyProtection="1">
      <alignment horizontal="center" vertical="center" wrapText="1"/>
      <protection locked="0"/>
    </xf>
    <xf numFmtId="0" fontId="1" fillId="3" borderId="16" xfId="0" applyFont="1" applyFill="1" applyBorder="1" applyAlignment="1">
      <alignment horizontal="center" vertical="center"/>
    </xf>
    <xf numFmtId="0" fontId="0" fillId="0" borderId="16" xfId="0" applyBorder="1" applyAlignment="1">
      <alignment horizontal="center" vertical="center"/>
    </xf>
    <xf numFmtId="0" fontId="0" fillId="3" borderId="17" xfId="0" applyFill="1" applyBorder="1" applyAlignment="1" applyProtection="1">
      <alignment horizontal="center" vertical="center" wrapText="1"/>
      <protection locked="0"/>
    </xf>
    <xf numFmtId="0" fontId="0" fillId="0" borderId="18" xfId="0" applyBorder="1" applyAlignment="1" applyProtection="1">
      <alignment horizontal="center" vertical="center"/>
      <protection locked="0"/>
    </xf>
    <xf numFmtId="0" fontId="1" fillId="2" borderId="0" xfId="0" applyFont="1" applyFill="1" applyAlignment="1">
      <alignment horizontal="center" vertical="center"/>
    </xf>
    <xf numFmtId="0" fontId="0" fillId="3" borderId="19" xfId="0" applyFill="1" applyBorder="1" applyAlignment="1" applyProtection="1">
      <alignment horizontal="center" vertical="center" wrapText="1"/>
      <protection locked="0"/>
    </xf>
    <xf numFmtId="0" fontId="0" fillId="0" borderId="46" xfId="0" applyBorder="1" applyAlignment="1" applyProtection="1">
      <alignment horizontal="center" vertical="center" wrapText="1"/>
      <protection locked="0"/>
    </xf>
    <xf numFmtId="0" fontId="9" fillId="0" borderId="17" xfId="0" applyFont="1" applyBorder="1" applyAlignment="1">
      <alignment horizontal="center" vertical="center" wrapText="1"/>
    </xf>
    <xf numFmtId="0" fontId="9" fillId="0" borderId="0" xfId="0" applyFont="1" applyAlignment="1">
      <alignment horizontal="center" vertical="center" wrapText="1"/>
    </xf>
    <xf numFmtId="0" fontId="0" fillId="0" borderId="19" xfId="0" applyBorder="1" applyAlignment="1">
      <alignment wrapText="1"/>
    </xf>
    <xf numFmtId="0" fontId="0" fillId="0" borderId="20" xfId="0" applyBorder="1" applyAlignment="1">
      <alignment wrapText="1"/>
    </xf>
    <xf numFmtId="0" fontId="18" fillId="0" borderId="52" xfId="0" applyFont="1" applyBorder="1" applyAlignment="1">
      <alignment horizontal="center" vertical="center" wrapText="1"/>
    </xf>
    <xf numFmtId="0" fontId="18" fillId="0" borderId="49" xfId="0" applyFont="1" applyBorder="1" applyAlignment="1">
      <alignment horizontal="center" vertical="center" wrapText="1"/>
    </xf>
    <xf numFmtId="0" fontId="1" fillId="0" borderId="26" xfId="0" applyFont="1" applyBorder="1" applyAlignment="1">
      <alignment horizontal="center" vertical="center" wrapText="1"/>
    </xf>
    <xf numFmtId="0" fontId="18" fillId="0" borderId="73" xfId="0" applyFont="1" applyBorder="1" applyAlignment="1">
      <alignment horizontal="center" vertical="center"/>
    </xf>
    <xf numFmtId="0" fontId="18" fillId="0" borderId="38" xfId="0" applyFont="1" applyBorder="1" applyAlignment="1">
      <alignment horizontal="center" vertical="center"/>
    </xf>
    <xf numFmtId="0" fontId="18" fillId="0" borderId="64" xfId="0" applyFont="1" applyBorder="1" applyAlignment="1">
      <alignment horizontal="center" vertical="center"/>
    </xf>
    <xf numFmtId="0" fontId="18" fillId="0" borderId="37" xfId="0" applyFont="1" applyBorder="1" applyAlignment="1">
      <alignment horizontal="center" vertical="center"/>
    </xf>
    <xf numFmtId="0" fontId="24" fillId="18" borderId="1" xfId="0" applyFont="1" applyFill="1" applyBorder="1" applyAlignment="1">
      <alignment horizontal="center" vertical="center" wrapText="1"/>
    </xf>
    <xf numFmtId="0" fontId="114" fillId="18" borderId="1" xfId="0" applyFont="1" applyFill="1" applyBorder="1" applyAlignment="1">
      <alignment vertical="center" wrapText="1"/>
    </xf>
    <xf numFmtId="0" fontId="14" fillId="0" borderId="1" xfId="0" applyFont="1" applyBorder="1" applyAlignment="1">
      <alignment horizontal="center" vertical="center" wrapText="1"/>
    </xf>
    <xf numFmtId="0" fontId="115" fillId="0" borderId="1" xfId="0" applyFont="1" applyBorder="1" applyAlignment="1">
      <alignment horizontal="center" vertical="center" wrapText="1"/>
    </xf>
    <xf numFmtId="0" fontId="115" fillId="0" borderId="1" xfId="0" applyFont="1" applyBorder="1" applyAlignment="1">
      <alignment vertical="center" wrapText="1"/>
    </xf>
    <xf numFmtId="0" fontId="0" fillId="0" borderId="1" xfId="0" applyBorder="1" applyAlignment="1">
      <alignment vertical="center" wrapText="1"/>
    </xf>
    <xf numFmtId="0" fontId="0" fillId="0" borderId="78" xfId="0" applyBorder="1" applyAlignment="1">
      <alignment horizontal="center" vertical="center" wrapText="1"/>
    </xf>
    <xf numFmtId="0" fontId="0" fillId="0" borderId="50" xfId="0" applyBorder="1" applyAlignment="1">
      <alignment horizontal="center" vertical="center" wrapText="1"/>
    </xf>
    <xf numFmtId="0" fontId="0" fillId="0" borderId="7" xfId="0" applyBorder="1" applyAlignment="1">
      <alignment horizontal="center" vertical="center" wrapText="1"/>
    </xf>
    <xf numFmtId="0" fontId="0" fillId="0" borderId="11" xfId="0" applyBorder="1" applyAlignment="1">
      <alignment horizontal="center" vertical="center" wrapText="1"/>
    </xf>
    <xf numFmtId="0" fontId="0" fillId="0" borderId="8" xfId="0" applyBorder="1" applyAlignment="1">
      <alignment horizontal="center" vertical="center" wrapText="1"/>
    </xf>
    <xf numFmtId="0" fontId="0" fillId="0" borderId="12" xfId="0" applyBorder="1" applyAlignment="1">
      <alignment horizontal="center" vertical="center" wrapText="1"/>
    </xf>
    <xf numFmtId="0" fontId="27" fillId="0" borderId="0" xfId="0" applyFont="1" applyAlignment="1">
      <alignment horizontal="center" vertical="center"/>
    </xf>
    <xf numFmtId="0" fontId="27" fillId="0" borderId="28" xfId="0" applyFont="1" applyBorder="1" applyAlignment="1">
      <alignment horizontal="center" vertical="center" textRotation="90" wrapText="1"/>
    </xf>
    <xf numFmtId="0" fontId="48" fillId="0" borderId="1" xfId="0" applyFont="1" applyBorder="1" applyAlignment="1">
      <alignment horizontal="center" vertical="center" wrapText="1"/>
    </xf>
    <xf numFmtId="0" fontId="47" fillId="0" borderId="1" xfId="0" applyFont="1" applyBorder="1" applyAlignment="1">
      <alignment horizontal="center" vertical="center" wrapText="1"/>
    </xf>
    <xf numFmtId="0" fontId="40" fillId="0" borderId="1" xfId="0" applyFont="1" applyBorder="1" applyAlignment="1">
      <alignment horizontal="center" vertical="center"/>
    </xf>
    <xf numFmtId="0" fontId="43" fillId="0" borderId="7" xfId="0" applyFont="1" applyBorder="1" applyAlignment="1">
      <alignment horizontal="center" vertical="center" wrapText="1"/>
    </xf>
    <xf numFmtId="0" fontId="44" fillId="0" borderId="11" xfId="0" applyFont="1" applyBorder="1" applyAlignment="1">
      <alignment horizontal="center" vertical="center" wrapText="1"/>
    </xf>
    <xf numFmtId="0" fontId="44" fillId="0" borderId="6" xfId="0" applyFont="1" applyBorder="1" applyAlignment="1">
      <alignment horizontal="center" vertical="center" wrapText="1"/>
    </xf>
    <xf numFmtId="0" fontId="44" fillId="0" borderId="0" xfId="0" applyFont="1" applyAlignment="1">
      <alignment horizontal="center" vertical="center" wrapText="1"/>
    </xf>
    <xf numFmtId="0" fontId="0" fillId="0" borderId="9" xfId="0" applyBorder="1" applyAlignment="1">
      <alignment horizontal="center" vertical="center"/>
    </xf>
    <xf numFmtId="0" fontId="32" fillId="0" borderId="9" xfId="0" applyFont="1" applyBorder="1" applyAlignment="1">
      <alignment horizontal="center" vertical="center" wrapText="1"/>
    </xf>
    <xf numFmtId="3" fontId="18" fillId="0" borderId="47" xfId="0" applyNumberFormat="1" applyFont="1" applyBorder="1" applyAlignment="1">
      <alignment horizontal="center" vertical="center" wrapText="1"/>
    </xf>
    <xf numFmtId="0" fontId="18" fillId="0" borderId="48" xfId="0" applyFont="1" applyBorder="1" applyAlignment="1">
      <alignment horizontal="center" vertical="center" wrapText="1"/>
    </xf>
    <xf numFmtId="0" fontId="1" fillId="0" borderId="14" xfId="0" applyFont="1" applyBorder="1" applyAlignment="1">
      <alignment horizontal="center" vertical="center" wrapText="1"/>
    </xf>
    <xf numFmtId="0" fontId="0" fillId="0" borderId="25" xfId="0" applyBorder="1" applyAlignment="1">
      <alignment horizontal="center" vertical="center" wrapText="1"/>
    </xf>
    <xf numFmtId="0" fontId="18" fillId="0" borderId="22" xfId="0" applyFont="1" applyBorder="1" applyAlignment="1">
      <alignment horizontal="center" vertical="center" wrapText="1"/>
    </xf>
    <xf numFmtId="0" fontId="27" fillId="0" borderId="23" xfId="0" applyFont="1" applyBorder="1" applyAlignment="1">
      <alignment horizontal="center" vertical="center" wrapText="1"/>
    </xf>
    <xf numFmtId="0" fontId="27" fillId="0" borderId="23" xfId="0" applyFont="1" applyBorder="1" applyAlignment="1">
      <alignment horizontal="center" vertical="center"/>
    </xf>
    <xf numFmtId="0" fontId="27" fillId="0" borderId="24" xfId="0" applyFont="1" applyBorder="1" applyAlignment="1">
      <alignment horizontal="center" vertical="center"/>
    </xf>
    <xf numFmtId="0" fontId="0" fillId="0" borderId="20" xfId="0" applyBorder="1" applyAlignment="1">
      <alignment horizontal="center" vertical="center"/>
    </xf>
    <xf numFmtId="0" fontId="2" fillId="0" borderId="25" xfId="0" applyFont="1" applyBorder="1" applyAlignment="1">
      <alignment horizontal="center" vertical="center" wrapText="1"/>
    </xf>
    <xf numFmtId="0" fontId="18" fillId="0" borderId="7" xfId="0" applyFont="1" applyBorder="1" applyAlignment="1">
      <alignment horizontal="center" vertical="center" wrapText="1"/>
    </xf>
    <xf numFmtId="0" fontId="26" fillId="0" borderId="47" xfId="0" applyFont="1" applyBorder="1" applyAlignment="1">
      <alignment horizontal="center" vertical="center" wrapText="1"/>
    </xf>
    <xf numFmtId="0" fontId="26" fillId="0" borderId="34" xfId="0" applyFont="1" applyBorder="1" applyAlignment="1">
      <alignment horizontal="center" vertical="center" wrapText="1"/>
    </xf>
    <xf numFmtId="0" fontId="1" fillId="0" borderId="66" xfId="0" applyFont="1" applyBorder="1" applyAlignment="1">
      <alignment horizontal="center" vertical="center" wrapText="1"/>
    </xf>
    <xf numFmtId="0" fontId="1" fillId="0" borderId="6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52" xfId="0" applyFont="1" applyBorder="1" applyAlignment="1">
      <alignment horizontal="center" vertical="center"/>
    </xf>
    <xf numFmtId="0" fontId="18" fillId="0" borderId="44" xfId="0" applyFont="1" applyBorder="1" applyAlignment="1">
      <alignment horizontal="center" vertical="center"/>
    </xf>
    <xf numFmtId="0" fontId="18" fillId="0" borderId="54" xfId="0" applyFont="1" applyBorder="1" applyAlignment="1">
      <alignment horizontal="center" vertical="center"/>
    </xf>
    <xf numFmtId="0" fontId="18" fillId="0" borderId="70" xfId="0" applyFont="1" applyBorder="1" applyAlignment="1">
      <alignment horizontal="center" vertical="center" wrapText="1"/>
    </xf>
    <xf numFmtId="0" fontId="18" fillId="0" borderId="59" xfId="0" applyFont="1" applyBorder="1" applyAlignment="1">
      <alignment horizontal="center" vertical="center" wrapText="1"/>
    </xf>
    <xf numFmtId="0" fontId="114" fillId="18" borderId="2" xfId="0" applyFont="1" applyFill="1" applyBorder="1" applyAlignment="1">
      <alignment vertical="center" wrapText="1"/>
    </xf>
    <xf numFmtId="0" fontId="122" fillId="0" borderId="7" xfId="0" applyFont="1" applyBorder="1" applyAlignment="1">
      <alignment horizontal="center" vertical="center" wrapText="1"/>
    </xf>
    <xf numFmtId="0" fontId="26" fillId="0" borderId="31" xfId="0" applyFont="1" applyBorder="1" applyAlignment="1">
      <alignment horizontal="center" vertical="center" wrapText="1"/>
    </xf>
    <xf numFmtId="0" fontId="40" fillId="0" borderId="68" xfId="0" applyFont="1" applyBorder="1" applyAlignment="1">
      <alignment horizontal="center" vertical="center" wrapText="1"/>
    </xf>
    <xf numFmtId="0" fontId="105" fillId="0" borderId="39" xfId="0" applyFont="1" applyBorder="1" applyAlignment="1">
      <alignment horizontal="center" vertical="center" wrapText="1"/>
    </xf>
    <xf numFmtId="0" fontId="0" fillId="0" borderId="45" xfId="0" applyBorder="1" applyAlignment="1">
      <alignment horizontal="center" vertical="center" wrapText="1"/>
    </xf>
    <xf numFmtId="0" fontId="1" fillId="0" borderId="43" xfId="0" applyFont="1" applyBorder="1" applyAlignment="1">
      <alignment horizontal="center" vertical="center" wrapText="1"/>
    </xf>
    <xf numFmtId="0" fontId="0" fillId="0" borderId="64" xfId="0" applyBorder="1" applyAlignment="1">
      <alignment horizontal="center" vertical="center" wrapText="1"/>
    </xf>
    <xf numFmtId="0" fontId="0" fillId="0" borderId="38" xfId="0" applyBorder="1" applyAlignment="1">
      <alignment horizontal="center" vertical="center" wrapText="1"/>
    </xf>
    <xf numFmtId="0" fontId="2" fillId="0" borderId="1" xfId="0" applyFont="1" applyBorder="1" applyAlignment="1">
      <alignment horizontal="center" vertical="center" wrapText="1"/>
    </xf>
    <xf numFmtId="0" fontId="27" fillId="0" borderId="25" xfId="0" applyFont="1" applyBorder="1" applyAlignment="1">
      <alignment horizontal="center" vertical="center" wrapText="1"/>
    </xf>
    <xf numFmtId="0" fontId="0" fillId="0" borderId="44" xfId="0" applyBorder="1" applyAlignment="1">
      <alignment horizontal="center" vertical="center" wrapText="1"/>
    </xf>
    <xf numFmtId="0" fontId="0" fillId="0" borderId="54" xfId="0" applyBorder="1" applyAlignment="1">
      <alignment horizontal="center" vertical="center" wrapText="1"/>
    </xf>
    <xf numFmtId="0" fontId="27" fillId="0" borderId="24" xfId="0" applyFont="1" applyBorder="1" applyAlignment="1">
      <alignment horizontal="center" vertical="center" wrapText="1"/>
    </xf>
    <xf numFmtId="165" fontId="18" fillId="0" borderId="16" xfId="0" applyNumberFormat="1" applyFont="1" applyBorder="1" applyAlignment="1">
      <alignment horizontal="center" vertical="center" wrapText="1"/>
    </xf>
    <xf numFmtId="165" fontId="18" fillId="0" borderId="20" xfId="0" applyNumberFormat="1" applyFont="1" applyBorder="1" applyAlignment="1">
      <alignment horizontal="center" vertical="center" wrapText="1"/>
    </xf>
    <xf numFmtId="0" fontId="1" fillId="0" borderId="52" xfId="0" applyFont="1" applyBorder="1" applyAlignment="1">
      <alignment horizontal="center" vertical="center"/>
    </xf>
    <xf numFmtId="0" fontId="1" fillId="0" borderId="44" xfId="0" applyFont="1" applyBorder="1" applyAlignment="1">
      <alignment horizontal="center" vertical="center"/>
    </xf>
    <xf numFmtId="0" fontId="0" fillId="0" borderId="54" xfId="0" applyBorder="1" applyAlignment="1">
      <alignment horizontal="center" vertical="center"/>
    </xf>
    <xf numFmtId="0" fontId="18" fillId="0" borderId="53" xfId="0" applyFont="1" applyBorder="1" applyAlignment="1">
      <alignment horizontal="center" vertical="center" wrapText="1"/>
    </xf>
    <xf numFmtId="0" fontId="0" fillId="0" borderId="58" xfId="0" applyBorder="1" applyAlignment="1">
      <alignment horizontal="center" vertical="center"/>
    </xf>
    <xf numFmtId="0" fontId="0" fillId="0" borderId="19" xfId="0" applyBorder="1" applyAlignment="1">
      <alignment horizontal="center" vertical="center" wrapText="1"/>
    </xf>
    <xf numFmtId="0" fontId="27" fillId="0" borderId="16" xfId="0" applyFont="1" applyBorder="1" applyAlignment="1">
      <alignment horizontal="center" vertical="center" textRotation="90" wrapText="1"/>
    </xf>
    <xf numFmtId="0" fontId="0" fillId="0" borderId="23" xfId="0" applyBorder="1" applyAlignment="1">
      <alignment horizontal="center" vertical="center" wrapText="1"/>
    </xf>
    <xf numFmtId="0" fontId="18" fillId="0" borderId="23"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24" xfId="0" applyFont="1" applyBorder="1" applyAlignment="1">
      <alignment horizontal="center" vertical="center" wrapText="1"/>
    </xf>
    <xf numFmtId="0" fontId="0" fillId="0" borderId="24" xfId="0" applyBorder="1" applyAlignment="1">
      <alignment horizontal="center" vertical="center" wrapText="1"/>
    </xf>
    <xf numFmtId="0" fontId="18" fillId="0" borderId="39" xfId="0" applyFont="1" applyBorder="1" applyAlignment="1">
      <alignment horizontal="center" vertical="center" wrapText="1"/>
    </xf>
    <xf numFmtId="0" fontId="27" fillId="0" borderId="45" xfId="0" applyFont="1" applyBorder="1" applyAlignment="1">
      <alignment horizontal="center" vertical="center" wrapText="1"/>
    </xf>
    <xf numFmtId="0" fontId="24" fillId="18" borderId="52" xfId="0" applyFont="1" applyFill="1" applyBorder="1" applyAlignment="1">
      <alignment horizontal="center" vertical="center" wrapText="1"/>
    </xf>
    <xf numFmtId="0" fontId="0" fillId="0" borderId="44" xfId="0" applyBorder="1" applyAlignment="1">
      <alignment vertical="center"/>
    </xf>
    <xf numFmtId="0" fontId="114" fillId="18" borderId="39" xfId="0" applyFont="1" applyFill="1" applyBorder="1" applyAlignment="1">
      <alignment vertical="center" wrapText="1"/>
    </xf>
    <xf numFmtId="0" fontId="0" fillId="0" borderId="1" xfId="0" applyBorder="1" applyAlignment="1">
      <alignment vertical="center"/>
    </xf>
    <xf numFmtId="0" fontId="115" fillId="0" borderId="44" xfId="0" applyFont="1" applyBorder="1" applyAlignment="1">
      <alignment horizontal="center" vertical="center" wrapText="1"/>
    </xf>
    <xf numFmtId="0" fontId="115" fillId="0" borderId="44" xfId="0" applyFont="1" applyBorder="1" applyAlignment="1">
      <alignment vertical="center" wrapText="1"/>
    </xf>
    <xf numFmtId="0" fontId="0" fillId="0" borderId="44" xfId="0" applyBorder="1" applyAlignment="1">
      <alignment vertical="center" wrapText="1"/>
    </xf>
    <xf numFmtId="0" fontId="0" fillId="0" borderId="54" xfId="0" applyBorder="1" applyAlignment="1">
      <alignment vertical="center" wrapText="1"/>
    </xf>
    <xf numFmtId="0" fontId="0" fillId="0" borderId="45" xfId="0" applyBorder="1" applyAlignment="1">
      <alignment vertical="center" wrapText="1"/>
    </xf>
    <xf numFmtId="0" fontId="18"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105" fillId="0" borderId="2"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115" fillId="0" borderId="7" xfId="0" applyFont="1" applyBorder="1" applyAlignment="1">
      <alignment horizontal="center" vertical="center" wrapText="1"/>
    </xf>
    <xf numFmtId="0" fontId="0" fillId="0" borderId="11" xfId="0" applyBorder="1" applyAlignment="1">
      <alignment vertical="center" wrapText="1"/>
    </xf>
    <xf numFmtId="0" fontId="0" fillId="0" borderId="8" xfId="0" applyBorder="1" applyAlignment="1">
      <alignment vertical="center" wrapText="1"/>
    </xf>
    <xf numFmtId="0" fontId="0" fillId="0" borderId="6" xfId="0" applyBorder="1" applyAlignment="1">
      <alignment vertical="center" wrapText="1"/>
    </xf>
    <xf numFmtId="0" fontId="0" fillId="0" borderId="0" xfId="0" applyAlignment="1">
      <alignment vertical="center" wrapText="1"/>
    </xf>
    <xf numFmtId="0" fontId="0" fillId="0" borderId="5" xfId="0" applyBorder="1" applyAlignment="1">
      <alignment vertical="center" wrapText="1"/>
    </xf>
    <xf numFmtId="0" fontId="0" fillId="0" borderId="9" xfId="0" applyBorder="1" applyAlignment="1">
      <alignment vertical="center" wrapText="1"/>
    </xf>
    <xf numFmtId="0" fontId="0" fillId="0" borderId="12" xfId="0" applyBorder="1" applyAlignment="1">
      <alignment vertical="center" wrapText="1"/>
    </xf>
    <xf numFmtId="0" fontId="0" fillId="0" borderId="10" xfId="0" applyBorder="1" applyAlignment="1">
      <alignment vertical="center" wrapText="1"/>
    </xf>
    <xf numFmtId="0" fontId="1" fillId="0" borderId="7"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0" xfId="0" applyFont="1" applyBorder="1" applyAlignment="1">
      <alignment horizontal="center" vertical="center" wrapText="1"/>
    </xf>
    <xf numFmtId="0" fontId="32" fillId="0" borderId="2" xfId="0" applyFont="1" applyBorder="1" applyAlignment="1">
      <alignment horizontal="center" vertical="center" wrapText="1"/>
    </xf>
    <xf numFmtId="0" fontId="18" fillId="0" borderId="13" xfId="0" applyFont="1" applyBorder="1" applyAlignment="1">
      <alignment horizontal="center" vertical="center" wrapText="1"/>
    </xf>
    <xf numFmtId="0" fontId="1" fillId="0" borderId="17" xfId="0" applyFont="1" applyBorder="1" applyAlignment="1">
      <alignment horizontal="center" vertical="center" wrapText="1"/>
    </xf>
    <xf numFmtId="0" fontId="0" fillId="0" borderId="18" xfId="0" applyBorder="1" applyAlignment="1">
      <alignment horizontal="center" vertical="center"/>
    </xf>
    <xf numFmtId="0" fontId="18" fillId="0" borderId="28" xfId="0" applyFont="1" applyBorder="1" applyAlignment="1">
      <alignment horizontal="center" vertical="center" textRotation="90" wrapText="1"/>
    </xf>
    <xf numFmtId="0" fontId="18" fillId="0" borderId="46" xfId="0" applyFont="1" applyBorder="1" applyAlignment="1">
      <alignment horizontal="center" vertical="center" textRotation="90" wrapText="1"/>
    </xf>
    <xf numFmtId="0" fontId="2" fillId="0" borderId="68" xfId="0" applyFont="1" applyBorder="1" applyAlignment="1">
      <alignment horizontal="center" vertical="center" wrapText="1"/>
    </xf>
    <xf numFmtId="0" fontId="11" fillId="10" borderId="29" xfId="0" applyFont="1" applyFill="1" applyBorder="1" applyAlignment="1">
      <alignment horizontal="center" vertical="center" wrapText="1"/>
    </xf>
    <xf numFmtId="0" fontId="0" fillId="10" borderId="30" xfId="0" applyFill="1" applyBorder="1" applyAlignment="1">
      <alignment horizontal="center" vertical="center" wrapText="1"/>
    </xf>
    <xf numFmtId="0" fontId="18" fillId="0" borderId="17" xfId="0" applyFont="1" applyBorder="1" applyAlignment="1">
      <alignment horizontal="center" vertical="center"/>
    </xf>
    <xf numFmtId="0" fontId="32" fillId="0" borderId="6" xfId="0" applyFont="1" applyBorder="1" applyAlignment="1">
      <alignment horizontal="left" vertical="center" wrapText="1"/>
    </xf>
    <xf numFmtId="0" fontId="41" fillId="0" borderId="2" xfId="0" applyFont="1" applyBorder="1" applyAlignment="1">
      <alignment horizontal="center" vertical="center" wrapText="1"/>
    </xf>
    <xf numFmtId="0" fontId="41" fillId="0" borderId="3" xfId="0" applyFont="1" applyBorder="1" applyAlignment="1">
      <alignment horizontal="center" vertical="center" wrapText="1"/>
    </xf>
    <xf numFmtId="0" fontId="41" fillId="0" borderId="4" xfId="0" applyFont="1" applyBorder="1" applyAlignment="1">
      <alignment horizontal="center" vertical="center" wrapText="1"/>
    </xf>
    <xf numFmtId="0" fontId="32" fillId="0" borderId="1" xfId="0" applyFont="1" applyBorder="1" applyAlignment="1">
      <alignment horizontal="center" vertical="center" wrapText="1"/>
    </xf>
    <xf numFmtId="0" fontId="1" fillId="0" borderId="29" xfId="0" applyFont="1" applyBorder="1" applyAlignment="1">
      <alignment horizontal="center" vertical="center" wrapText="1"/>
    </xf>
    <xf numFmtId="0" fontId="0" fillId="0" borderId="30" xfId="0" applyBorder="1" applyAlignment="1">
      <alignment horizontal="center" vertical="center"/>
    </xf>
    <xf numFmtId="0" fontId="2" fillId="0" borderId="15" xfId="0" applyFont="1" applyBorder="1" applyAlignment="1">
      <alignment horizontal="center" vertical="center" wrapText="1"/>
    </xf>
    <xf numFmtId="0" fontId="0" fillId="0" borderId="28" xfId="0" applyBorder="1" applyAlignment="1">
      <alignment horizontal="center" vertical="center" wrapText="1"/>
    </xf>
    <xf numFmtId="0" fontId="62" fillId="0" borderId="15" xfId="0" applyFont="1" applyBorder="1" applyAlignment="1">
      <alignment horizontal="center" vertical="center"/>
    </xf>
    <xf numFmtId="0" fontId="63" fillId="0" borderId="17" xfId="0" applyFont="1" applyBorder="1" applyAlignment="1">
      <alignment horizontal="center" vertical="center"/>
    </xf>
    <xf numFmtId="0" fontId="63" fillId="0" borderId="19" xfId="0" applyFont="1" applyBorder="1" applyAlignment="1">
      <alignment horizontal="center" vertical="center"/>
    </xf>
    <xf numFmtId="0" fontId="1" fillId="0" borderId="70" xfId="0" applyFont="1" applyBorder="1" applyAlignment="1">
      <alignment horizontal="center" vertical="center" wrapText="1"/>
    </xf>
    <xf numFmtId="0" fontId="0" fillId="0" borderId="43" xfId="0" applyBorder="1" applyAlignment="1">
      <alignment horizontal="center" vertical="center"/>
    </xf>
    <xf numFmtId="0" fontId="122" fillId="0" borderId="1" xfId="0" applyFont="1" applyBorder="1" applyAlignment="1">
      <alignment horizontal="center" vertical="center" wrapText="1"/>
    </xf>
    <xf numFmtId="0" fontId="137" fillId="5" borderId="29" xfId="0" applyFont="1" applyFill="1" applyBorder="1" applyAlignment="1">
      <alignment horizontal="center" vertical="center" wrapText="1"/>
    </xf>
    <xf numFmtId="0" fontId="137" fillId="5" borderId="76" xfId="0" applyFont="1" applyFill="1" applyBorder="1" applyAlignment="1">
      <alignment horizontal="center" vertical="center" wrapText="1"/>
    </xf>
    <xf numFmtId="0" fontId="0" fillId="0" borderId="76" xfId="0" applyBorder="1" applyAlignment="1">
      <alignment horizontal="center" vertical="center" wrapText="1"/>
    </xf>
    <xf numFmtId="0" fontId="62" fillId="17" borderId="29" xfId="0" applyFont="1" applyFill="1" applyBorder="1" applyAlignment="1">
      <alignment horizontal="center" vertical="center" wrapText="1"/>
    </xf>
    <xf numFmtId="0" fontId="62" fillId="17" borderId="76" xfId="0" applyFont="1" applyFill="1" applyBorder="1" applyAlignment="1">
      <alignment horizontal="center" vertical="center" wrapText="1"/>
    </xf>
    <xf numFmtId="0" fontId="45" fillId="0" borderId="0" xfId="0" applyFont="1" applyAlignment="1">
      <alignment horizontal="center" vertical="center" wrapText="1"/>
    </xf>
    <xf numFmtId="0" fontId="5" fillId="0" borderId="0" xfId="0" applyFont="1" applyAlignment="1">
      <alignment horizontal="center" vertical="center" wrapText="1"/>
    </xf>
    <xf numFmtId="0" fontId="2" fillId="0" borderId="0" xfId="0" applyFont="1" applyAlignment="1">
      <alignment horizontal="center" vertical="center" wrapText="1"/>
    </xf>
    <xf numFmtId="0" fontId="23" fillId="0" borderId="0" xfId="0" applyFont="1" applyAlignment="1">
      <alignment horizontal="center" vertical="center" wrapText="1"/>
    </xf>
    <xf numFmtId="0" fontId="2" fillId="0" borderId="79" xfId="0" applyFont="1"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62" fillId="19" borderId="29" xfId="0" applyFont="1" applyFill="1" applyBorder="1" applyAlignment="1">
      <alignment horizontal="center" vertical="center" wrapText="1"/>
    </xf>
    <xf numFmtId="0" fontId="62" fillId="19" borderId="76" xfId="0" applyFont="1" applyFill="1" applyBorder="1" applyAlignment="1">
      <alignment horizontal="center" vertical="center" wrapText="1"/>
    </xf>
    <xf numFmtId="0" fontId="111" fillId="0" borderId="52" xfId="0" applyFont="1" applyBorder="1" applyAlignment="1">
      <alignment horizontal="center" vertical="center" wrapText="1"/>
    </xf>
    <xf numFmtId="0" fontId="112" fillId="0" borderId="44" xfId="0" applyFont="1" applyBorder="1" applyAlignment="1">
      <alignment horizontal="center" vertical="center" wrapText="1"/>
    </xf>
    <xf numFmtId="0" fontId="112" fillId="0" borderId="54" xfId="0" applyFont="1" applyBorder="1" applyAlignment="1">
      <alignment horizontal="center" vertical="center" wrapText="1"/>
    </xf>
    <xf numFmtId="0" fontId="11" fillId="0" borderId="52" xfId="0" applyFont="1" applyBorder="1" applyAlignment="1">
      <alignment horizontal="center" vertical="center" wrapText="1"/>
    </xf>
    <xf numFmtId="0" fontId="39" fillId="0" borderId="44" xfId="0" applyFont="1" applyBorder="1" applyAlignment="1">
      <alignment horizontal="center" vertical="center" wrapText="1"/>
    </xf>
    <xf numFmtId="0" fontId="39" fillId="0" borderId="54"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62" xfId="0" applyFont="1" applyBorder="1" applyAlignment="1">
      <alignment horizontal="center" wrapText="1"/>
    </xf>
    <xf numFmtId="0" fontId="40" fillId="0" borderId="63" xfId="0" applyFont="1" applyBorder="1" applyAlignment="1">
      <alignment horizontal="center" wrapText="1"/>
    </xf>
    <xf numFmtId="0" fontId="18" fillId="0" borderId="58" xfId="0" applyFont="1" applyBorder="1" applyAlignment="1">
      <alignment horizontal="center" vertical="center" wrapText="1"/>
    </xf>
    <xf numFmtId="0" fontId="121" fillId="15" borderId="15" xfId="0" applyFont="1" applyFill="1" applyBorder="1" applyAlignment="1">
      <alignment horizontal="center" vertical="center" wrapText="1"/>
    </xf>
    <xf numFmtId="0" fontId="121" fillId="15" borderId="19" xfId="0" applyFont="1" applyFill="1" applyBorder="1" applyAlignment="1">
      <alignment horizontal="center" vertical="center" wrapText="1"/>
    </xf>
    <xf numFmtId="3" fontId="11" fillId="0" borderId="6" xfId="0" applyNumberFormat="1" applyFont="1" applyBorder="1" applyAlignment="1">
      <alignment horizontal="center" vertical="center" wrapText="1"/>
    </xf>
    <xf numFmtId="0" fontId="0" fillId="0" borderId="18" xfId="0" applyBorder="1" applyAlignment="1">
      <alignment horizontal="center" vertical="center" wrapText="1"/>
    </xf>
    <xf numFmtId="0" fontId="0" fillId="0" borderId="51" xfId="0" applyBorder="1" applyAlignment="1">
      <alignment horizontal="center" vertical="center" wrapText="1"/>
    </xf>
    <xf numFmtId="0" fontId="0" fillId="0" borderId="46" xfId="0" applyBorder="1" applyAlignment="1">
      <alignment horizontal="center" vertical="center" wrapText="1"/>
    </xf>
    <xf numFmtId="3" fontId="159" fillId="0" borderId="45" xfId="0" applyNumberFormat="1" applyFont="1" applyBorder="1" applyAlignment="1">
      <alignment horizontal="center" vertical="center"/>
    </xf>
    <xf numFmtId="0" fontId="156" fillId="0" borderId="55" xfId="0" applyFont="1" applyBorder="1" applyAlignment="1">
      <alignment horizontal="center" vertical="center"/>
    </xf>
    <xf numFmtId="0" fontId="118" fillId="0" borderId="22" xfId="0" applyFont="1" applyBorder="1" applyAlignment="1">
      <alignment horizontal="center" vertical="center" wrapText="1"/>
    </xf>
    <xf numFmtId="0" fontId="0" fillId="0" borderId="23" xfId="0" applyBorder="1" applyAlignment="1">
      <alignment horizontal="center" wrapText="1"/>
    </xf>
    <xf numFmtId="3" fontId="154" fillId="0" borderId="48" xfId="0" applyNumberFormat="1" applyFont="1" applyBorder="1" applyAlignment="1">
      <alignment vertical="top" wrapText="1"/>
    </xf>
    <xf numFmtId="0" fontId="0" fillId="0" borderId="36" xfId="0" applyBorder="1" applyAlignment="1">
      <alignment vertical="top" wrapText="1"/>
    </xf>
    <xf numFmtId="0" fontId="11" fillId="0" borderId="16" xfId="0" applyFont="1" applyBorder="1" applyAlignment="1">
      <alignment horizontal="center" vertical="center" wrapText="1"/>
    </xf>
    <xf numFmtId="0" fontId="39" fillId="0" borderId="16" xfId="0" applyFont="1" applyBorder="1" applyAlignment="1">
      <alignment horizontal="center" vertical="center" wrapText="1"/>
    </xf>
    <xf numFmtId="0" fontId="39" fillId="0" borderId="28" xfId="0" applyFont="1" applyBorder="1" applyAlignment="1">
      <alignment horizontal="center" vertical="center" wrapText="1"/>
    </xf>
    <xf numFmtId="3" fontId="1" fillId="22" borderId="70" xfId="0" applyNumberFormat="1" applyFont="1" applyFill="1" applyBorder="1" applyAlignment="1">
      <alignment horizontal="center" vertical="center" wrapText="1"/>
    </xf>
    <xf numFmtId="0" fontId="128" fillId="0" borderId="22" xfId="0" applyFont="1" applyBorder="1" applyAlignment="1">
      <alignment horizontal="center" vertical="center" wrapText="1"/>
    </xf>
    <xf numFmtId="0" fontId="128" fillId="0" borderId="24" xfId="0" applyFont="1" applyBorder="1" applyAlignment="1">
      <alignment horizontal="center" vertical="center" wrapText="1"/>
    </xf>
    <xf numFmtId="0" fontId="143" fillId="0" borderId="23" xfId="0" applyFont="1" applyBorder="1" applyAlignment="1">
      <alignment horizontal="center" vertical="center" wrapText="1"/>
    </xf>
    <xf numFmtId="0" fontId="142" fillId="0" borderId="24" xfId="0" applyFont="1" applyBorder="1" applyAlignment="1">
      <alignment horizontal="center" vertical="center" wrapText="1"/>
    </xf>
    <xf numFmtId="0" fontId="27" fillId="0" borderId="2" xfId="0" applyFont="1" applyBorder="1" applyAlignment="1">
      <alignment horizontal="center" vertical="center" wrapText="1"/>
    </xf>
    <xf numFmtId="0" fontId="15" fillId="0" borderId="0" xfId="0" applyFont="1" applyAlignment="1">
      <alignment horizontal="center" vertical="center" wrapText="1"/>
    </xf>
    <xf numFmtId="0" fontId="106" fillId="11" borderId="1" xfId="0" applyFont="1" applyFill="1" applyBorder="1" applyAlignment="1">
      <alignment horizontal="center" vertical="center" wrapText="1"/>
    </xf>
    <xf numFmtId="0" fontId="99" fillId="0" borderId="0" xfId="0" applyFont="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32" fillId="0" borderId="2" xfId="0" applyFont="1" applyBorder="1" applyAlignment="1">
      <alignment horizontal="center" vertical="center" wrapText="1"/>
    </xf>
    <xf numFmtId="0" fontId="133" fillId="0" borderId="3" xfId="0" applyFont="1" applyBorder="1" applyAlignment="1">
      <alignment horizontal="center" vertical="center" wrapText="1"/>
    </xf>
    <xf numFmtId="0" fontId="133" fillId="0" borderId="4" xfId="0" applyFont="1" applyBorder="1" applyAlignment="1">
      <alignment horizontal="center" vertical="center" wrapText="1"/>
    </xf>
    <xf numFmtId="0" fontId="1" fillId="11" borderId="2" xfId="0" applyFont="1" applyFill="1" applyBorder="1" applyAlignment="1">
      <alignment horizontal="center" vertical="center" wrapText="1"/>
    </xf>
    <xf numFmtId="0" fontId="1" fillId="11" borderId="3" xfId="0" applyFont="1" applyFill="1" applyBorder="1" applyAlignment="1">
      <alignment horizontal="center" vertical="center" wrapText="1"/>
    </xf>
    <xf numFmtId="0" fontId="1" fillId="11" borderId="4" xfId="0" applyFont="1" applyFill="1" applyBorder="1" applyAlignment="1">
      <alignment horizontal="center" vertical="center" wrapText="1"/>
    </xf>
    <xf numFmtId="0" fontId="2" fillId="0" borderId="14" xfId="0" applyFont="1" applyBorder="1" applyAlignment="1">
      <alignment horizontal="center" vertical="center"/>
    </xf>
    <xf numFmtId="0" fontId="2" fillId="0" borderId="25" xfId="0" applyFont="1" applyBorder="1" applyAlignment="1">
      <alignment horizontal="center" vertical="center"/>
    </xf>
    <xf numFmtId="0" fontId="36" fillId="0" borderId="0" xfId="0" applyFont="1" applyAlignment="1">
      <alignment vertical="center" wrapText="1"/>
    </xf>
    <xf numFmtId="0" fontId="1" fillId="0" borderId="1" xfId="0" applyFont="1" applyBorder="1" applyAlignment="1">
      <alignment horizontal="center" vertical="center"/>
    </xf>
    <xf numFmtId="0" fontId="5" fillId="0" borderId="2" xfId="0" applyFont="1" applyBorder="1" applyAlignment="1">
      <alignment horizontal="center" vertical="center"/>
    </xf>
    <xf numFmtId="0" fontId="1" fillId="0" borderId="4" xfId="0" applyFont="1" applyBorder="1" applyAlignment="1">
      <alignment horizontal="center" vertical="center"/>
    </xf>
    <xf numFmtId="0" fontId="0" fillId="0" borderId="7" xfId="0" applyBorder="1" applyAlignment="1">
      <alignment vertical="center" wrapText="1"/>
    </xf>
    <xf numFmtId="0" fontId="2" fillId="0" borderId="16"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19" xfId="0" applyFont="1" applyBorder="1" applyAlignment="1">
      <alignment vertical="center" wrapText="1"/>
    </xf>
    <xf numFmtId="0" fontId="2" fillId="0" borderId="20" xfId="0" applyFont="1" applyBorder="1" applyAlignment="1">
      <alignment vertical="center" wrapText="1"/>
    </xf>
    <xf numFmtId="0" fontId="2" fillId="0" borderId="46" xfId="0" applyFont="1" applyBorder="1" applyAlignment="1">
      <alignment vertical="center" wrapText="1"/>
    </xf>
    <xf numFmtId="0" fontId="22" fillId="0" borderId="0" xfId="0" applyFont="1" applyAlignment="1">
      <alignment vertical="center" wrapText="1"/>
    </xf>
    <xf numFmtId="0" fontId="133" fillId="0" borderId="0" xfId="0" applyFont="1" applyAlignment="1">
      <alignment vertical="center" wrapText="1"/>
    </xf>
    <xf numFmtId="0" fontId="32" fillId="0" borderId="0" xfId="0" applyFont="1" applyAlignment="1">
      <alignment horizontal="center" vertical="center" wrapText="1"/>
    </xf>
    <xf numFmtId="0" fontId="47" fillId="0" borderId="12" xfId="0" applyFont="1" applyBorder="1" applyAlignment="1">
      <alignment vertical="center" wrapText="1"/>
    </xf>
    <xf numFmtId="0" fontId="40" fillId="0" borderId="12" xfId="0" applyFont="1" applyBorder="1" applyAlignment="1">
      <alignment wrapText="1"/>
    </xf>
    <xf numFmtId="0" fontId="39" fillId="0" borderId="7" xfId="0" applyFont="1" applyBorder="1" applyAlignment="1">
      <alignment horizontal="center" vertical="center" wrapText="1"/>
    </xf>
    <xf numFmtId="0" fontId="39" fillId="0" borderId="8" xfId="0" applyFont="1" applyBorder="1" applyAlignment="1">
      <alignment horizontal="center" vertical="center" wrapText="1"/>
    </xf>
    <xf numFmtId="0" fontId="39" fillId="0" borderId="6" xfId="0" applyFont="1" applyBorder="1" applyAlignment="1">
      <alignment horizontal="center" vertical="center" wrapText="1"/>
    </xf>
    <xf numFmtId="0" fontId="39" fillId="0" borderId="5" xfId="0" applyFont="1" applyBorder="1" applyAlignment="1">
      <alignment horizontal="center" vertical="center" wrapText="1"/>
    </xf>
    <xf numFmtId="0" fontId="39" fillId="0" borderId="9" xfId="0" applyFont="1" applyBorder="1" applyAlignment="1">
      <alignment horizontal="center" vertical="center" wrapText="1"/>
    </xf>
    <xf numFmtId="0" fontId="39" fillId="0" borderId="10" xfId="0" applyFont="1" applyBorder="1" applyAlignment="1">
      <alignment horizontal="center" vertical="center" wrapText="1"/>
    </xf>
    <xf numFmtId="0" fontId="18" fillId="11" borderId="1" xfId="0" applyFont="1" applyFill="1" applyBorder="1" applyAlignment="1">
      <alignment horizontal="center" vertical="center" wrapText="1"/>
    </xf>
    <xf numFmtId="0" fontId="0" fillId="0" borderId="5" xfId="0" applyBorder="1" applyAlignment="1">
      <alignment textRotation="90" wrapText="1"/>
    </xf>
    <xf numFmtId="0" fontId="1" fillId="0" borderId="1" xfId="0" applyFont="1" applyBorder="1" applyAlignment="1">
      <alignment horizont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8" fillId="0" borderId="1" xfId="0" applyFont="1" applyBorder="1" applyAlignment="1">
      <alignment horizontal="center" vertical="center"/>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82" fillId="0" borderId="11" xfId="0" applyFont="1" applyBorder="1" applyAlignment="1">
      <alignment horizontal="center" vertical="center" wrapText="1"/>
    </xf>
    <xf numFmtId="0" fontId="40" fillId="0" borderId="0" xfId="0" applyFont="1" applyAlignment="1">
      <alignment horizontal="center" vertical="center" wrapText="1"/>
    </xf>
    <xf numFmtId="0" fontId="39" fillId="0" borderId="11" xfId="0" applyFont="1" applyBorder="1" applyAlignment="1">
      <alignment horizontal="center" vertical="center" wrapText="1"/>
    </xf>
    <xf numFmtId="0" fontId="119" fillId="0" borderId="1" xfId="0" applyFont="1" applyBorder="1" applyAlignment="1">
      <alignment horizontal="center" vertical="center" wrapText="1"/>
    </xf>
    <xf numFmtId="0" fontId="2" fillId="0" borderId="1" xfId="0" applyFont="1" applyBorder="1" applyAlignment="1">
      <alignment horizontal="center" vertical="center"/>
    </xf>
    <xf numFmtId="0" fontId="45" fillId="0" borderId="1" xfId="0" applyFont="1" applyBorder="1" applyAlignment="1">
      <alignment horizontal="center" vertical="center" wrapText="1"/>
    </xf>
    <xf numFmtId="0" fontId="126" fillId="0" borderId="1" xfId="0" applyFont="1" applyBorder="1" applyAlignment="1">
      <alignment horizontal="center" vertical="center" wrapText="1"/>
    </xf>
    <xf numFmtId="49" fontId="1" fillId="0" borderId="0" xfId="0" applyNumberFormat="1" applyFont="1" applyAlignment="1">
      <alignment horizontal="left" vertical="center" wrapText="1"/>
    </xf>
    <xf numFmtId="0" fontId="3" fillId="0" borderId="0" xfId="0" applyFont="1" applyAlignment="1">
      <alignment horizontal="center" vertical="center" wrapText="1"/>
    </xf>
    <xf numFmtId="0" fontId="3" fillId="0" borderId="7"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9" xfId="0" applyFont="1" applyBorder="1" applyAlignment="1">
      <alignment horizontal="center" vertical="center" wrapText="1"/>
    </xf>
    <xf numFmtId="0" fontId="3" fillId="0" borderId="38" xfId="0" applyFont="1" applyBorder="1" applyAlignment="1">
      <alignment horizontal="center" vertical="center" wrapText="1"/>
    </xf>
    <xf numFmtId="0" fontId="91" fillId="3" borderId="14" xfId="0" applyFont="1" applyFill="1"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24" fillId="0" borderId="22" xfId="0" applyFont="1" applyBorder="1" applyAlignment="1">
      <alignment horizontal="center" vertical="center"/>
    </xf>
    <xf numFmtId="0" fontId="24" fillId="0" borderId="23" xfId="0" applyFont="1" applyBorder="1" applyAlignment="1">
      <alignment horizontal="center" vertical="center"/>
    </xf>
    <xf numFmtId="0" fontId="24" fillId="0" borderId="24" xfId="0" applyFont="1" applyBorder="1" applyAlignment="1">
      <alignment horizontal="center" vertical="center"/>
    </xf>
    <xf numFmtId="0" fontId="0" fillId="0" borderId="47" xfId="0" applyBorder="1" applyAlignment="1">
      <alignment horizontal="center" vertical="center" wrapText="1"/>
    </xf>
    <xf numFmtId="0" fontId="0" fillId="0" borderId="48" xfId="0" applyBorder="1" applyAlignment="1">
      <alignment horizontal="center" vertical="center" wrapText="1"/>
    </xf>
    <xf numFmtId="0" fontId="0" fillId="0" borderId="68" xfId="0" applyBorder="1" applyAlignment="1">
      <alignment horizontal="center" vertical="center" wrapText="1"/>
    </xf>
    <xf numFmtId="0" fontId="57" fillId="0" borderId="65" xfId="0" applyFont="1" applyBorder="1" applyAlignment="1">
      <alignment horizontal="center" vertical="center" wrapText="1"/>
    </xf>
    <xf numFmtId="0" fontId="0" fillId="0" borderId="43" xfId="0" applyBorder="1" applyAlignment="1">
      <alignment horizontal="center" vertical="center" wrapText="1"/>
    </xf>
    <xf numFmtId="0" fontId="9" fillId="0" borderId="71" xfId="0" applyFont="1" applyBorder="1" applyAlignment="1">
      <alignment horizontal="center" vertical="center" wrapText="1"/>
    </xf>
    <xf numFmtId="0" fontId="9" fillId="0" borderId="19" xfId="0" applyFont="1" applyBorder="1" applyAlignment="1">
      <alignment horizontal="center" vertical="center" wrapText="1"/>
    </xf>
    <xf numFmtId="0" fontId="57" fillId="0" borderId="13" xfId="0" applyFont="1" applyBorder="1" applyAlignment="1">
      <alignment horizontal="center" vertical="center" wrapText="1"/>
    </xf>
    <xf numFmtId="0" fontId="0" fillId="0" borderId="56" xfId="0" applyBorder="1" applyAlignment="1">
      <alignment horizontal="center" vertical="center"/>
    </xf>
    <xf numFmtId="0" fontId="9" fillId="0" borderId="1" xfId="0" applyFont="1" applyBorder="1" applyAlignment="1">
      <alignment horizontal="center" vertical="center" wrapText="1"/>
    </xf>
    <xf numFmtId="0" fontId="9" fillId="0" borderId="45"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55" xfId="0" applyFont="1" applyBorder="1" applyAlignment="1">
      <alignment horizontal="center" vertical="center" wrapText="1"/>
    </xf>
    <xf numFmtId="0" fontId="9" fillId="0" borderId="65" xfId="0" applyFont="1" applyBorder="1" applyAlignment="1">
      <alignment horizontal="center" vertical="center" wrapText="1"/>
    </xf>
    <xf numFmtId="0" fontId="9" fillId="0" borderId="59" xfId="0" applyFont="1" applyBorder="1" applyAlignment="1">
      <alignment horizontal="center" vertical="center" wrapText="1"/>
    </xf>
    <xf numFmtId="0" fontId="57" fillId="0" borderId="8" xfId="0" applyFont="1" applyBorder="1" applyAlignment="1">
      <alignment horizontal="center" vertical="center" wrapText="1"/>
    </xf>
    <xf numFmtId="0" fontId="0" fillId="0" borderId="50" xfId="0" applyBorder="1" applyAlignment="1">
      <alignment horizontal="center" vertical="center"/>
    </xf>
    <xf numFmtId="0" fontId="9" fillId="0" borderId="43" xfId="0" applyFont="1" applyBorder="1" applyAlignment="1">
      <alignment horizontal="center" vertical="center" wrapText="1"/>
    </xf>
    <xf numFmtId="0" fontId="57" fillId="0" borderId="5" xfId="0" applyFont="1" applyBorder="1" applyAlignment="1">
      <alignment horizontal="center" vertical="center" wrapText="1"/>
    </xf>
    <xf numFmtId="49" fontId="5" fillId="0" borderId="0" xfId="0" applyNumberFormat="1" applyFont="1" applyAlignment="1">
      <alignment horizontal="right" vertical="center"/>
    </xf>
    <xf numFmtId="0" fontId="23" fillId="0" borderId="0" xfId="0" applyFont="1" applyAlignment="1">
      <alignment horizontal="right" vertical="center"/>
    </xf>
    <xf numFmtId="49" fontId="5" fillId="0" borderId="0" xfId="0" applyNumberFormat="1" applyFont="1" applyAlignment="1">
      <alignment horizontal="left" vertical="center" wrapText="1"/>
    </xf>
    <xf numFmtId="0" fontId="23" fillId="0" borderId="0" xfId="0" applyFont="1" applyAlignment="1">
      <alignment vertical="center" wrapText="1"/>
    </xf>
    <xf numFmtId="0" fontId="0" fillId="0" borderId="2" xfId="0" applyBorder="1" applyAlignment="1">
      <alignment horizontal="center" vertical="center" wrapText="1"/>
    </xf>
    <xf numFmtId="0" fontId="0" fillId="0" borderId="41" xfId="0" applyBorder="1" applyAlignment="1">
      <alignment horizontal="center" vertical="center" wrapText="1"/>
    </xf>
    <xf numFmtId="0" fontId="50" fillId="0" borderId="43" xfId="0" applyFont="1" applyBorder="1" applyAlignment="1">
      <alignment horizontal="left" vertical="center" wrapText="1"/>
    </xf>
    <xf numFmtId="0" fontId="51" fillId="0" borderId="43" xfId="0" applyFont="1" applyBorder="1" applyAlignment="1">
      <alignment horizontal="left" vertical="center" wrapText="1"/>
    </xf>
    <xf numFmtId="0" fontId="24" fillId="0" borderId="15" xfId="0" applyFont="1" applyBorder="1" applyAlignment="1">
      <alignment horizontal="center" vertical="center"/>
    </xf>
    <xf numFmtId="0" fontId="24" fillId="0" borderId="16" xfId="0" applyFont="1" applyBorder="1" applyAlignment="1">
      <alignment horizontal="center" vertical="center"/>
    </xf>
    <xf numFmtId="49" fontId="1" fillId="0" borderId="0" xfId="0" applyNumberFormat="1" applyFont="1" applyAlignment="1">
      <alignment horizontal="right" vertical="center"/>
    </xf>
    <xf numFmtId="0" fontId="0" fillId="0" borderId="0" xfId="0" applyAlignment="1">
      <alignment horizontal="right" vertical="center"/>
    </xf>
    <xf numFmtId="0" fontId="18" fillId="3" borderId="2" xfId="0" applyFont="1" applyFill="1"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18" fillId="0" borderId="9" xfId="0" applyFont="1" applyBorder="1" applyAlignment="1">
      <alignment horizontal="center" vertical="center" wrapText="1"/>
    </xf>
    <xf numFmtId="0" fontId="18" fillId="0" borderId="6" xfId="0" applyFont="1" applyBorder="1" applyAlignment="1">
      <alignment horizontal="center" vertical="center" wrapText="1"/>
    </xf>
    <xf numFmtId="1" fontId="18" fillId="0" borderId="2" xfId="0" applyNumberFormat="1" applyFont="1" applyBorder="1" applyAlignment="1">
      <alignment horizontal="center" vertical="center" wrapText="1"/>
    </xf>
    <xf numFmtId="1" fontId="18" fillId="0" borderId="1" xfId="0" applyNumberFormat="1" applyFont="1" applyBorder="1" applyAlignment="1">
      <alignment horizontal="center" vertical="center"/>
    </xf>
    <xf numFmtId="1" fontId="18" fillId="3" borderId="7" xfId="0" applyNumberFormat="1" applyFont="1" applyFill="1" applyBorder="1" applyAlignment="1" applyProtection="1">
      <alignment horizontal="center" vertical="center"/>
      <protection locked="0"/>
    </xf>
    <xf numFmtId="0" fontId="0" fillId="0" borderId="8" xfId="0" applyBorder="1" applyAlignment="1" applyProtection="1">
      <alignment horizontal="center" vertical="center"/>
      <protection locked="0"/>
    </xf>
    <xf numFmtId="1" fontId="18" fillId="3" borderId="2" xfId="0" applyNumberFormat="1" applyFont="1" applyFill="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18" fillId="0" borderId="7" xfId="0" applyFont="1" applyBorder="1" applyAlignment="1">
      <alignment horizontal="center"/>
    </xf>
    <xf numFmtId="0" fontId="0" fillId="0" borderId="11" xfId="0" applyBorder="1" applyAlignment="1">
      <alignment horizontal="center"/>
    </xf>
    <xf numFmtId="1" fontId="23" fillId="0" borderId="44" xfId="0" applyNumberFormat="1" applyFont="1" applyBorder="1" applyAlignment="1">
      <alignment horizontal="center" vertical="center"/>
    </xf>
    <xf numFmtId="0" fontId="0" fillId="0" borderId="44" xfId="0" applyBorder="1" applyAlignment="1">
      <alignment horizontal="center" vertical="center"/>
    </xf>
    <xf numFmtId="0" fontId="0" fillId="0" borderId="6" xfId="0" applyBorder="1" applyAlignment="1">
      <alignment horizontal="center"/>
    </xf>
    <xf numFmtId="0" fontId="0" fillId="0" borderId="5" xfId="0" applyBorder="1" applyAlignment="1">
      <alignment horizontal="center"/>
    </xf>
    <xf numFmtId="0" fontId="0" fillId="3" borderId="6" xfId="0" applyFill="1" applyBorder="1" applyAlignment="1" applyProtection="1">
      <alignment horizontal="center"/>
      <protection locked="0"/>
    </xf>
    <xf numFmtId="0" fontId="0" fillId="0" borderId="5" xfId="0" applyBorder="1" applyAlignment="1" applyProtection="1">
      <alignment horizontal="center"/>
      <protection locked="0"/>
    </xf>
    <xf numFmtId="0" fontId="0" fillId="3" borderId="0" xfId="0" applyFill="1" applyAlignment="1" applyProtection="1">
      <alignment horizontal="center"/>
      <protection locked="0"/>
    </xf>
    <xf numFmtId="0" fontId="9" fillId="0" borderId="1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0" fillId="4" borderId="51" xfId="0" applyFill="1" applyBorder="1" applyAlignment="1">
      <alignment horizontal="center" vertical="center"/>
    </xf>
    <xf numFmtId="0" fontId="0" fillId="4" borderId="6" xfId="0" applyFill="1" applyBorder="1" applyAlignment="1">
      <alignment horizontal="center" vertical="center"/>
    </xf>
    <xf numFmtId="1" fontId="6" fillId="0" borderId="22" xfId="0" applyNumberFormat="1" applyFont="1" applyBorder="1" applyAlignment="1">
      <alignment horizontal="center" vertical="center"/>
    </xf>
    <xf numFmtId="0" fontId="0" fillId="0" borderId="24" xfId="0" applyBorder="1" applyAlignment="1">
      <alignment horizontal="center" vertical="center"/>
    </xf>
    <xf numFmtId="0" fontId="9" fillId="0" borderId="6" xfId="0" applyFont="1" applyBorder="1" applyAlignment="1">
      <alignment horizontal="center" vertical="center" wrapText="1"/>
    </xf>
    <xf numFmtId="0" fontId="9" fillId="0" borderId="51" xfId="0" applyFont="1" applyBorder="1" applyAlignment="1">
      <alignment horizontal="center" vertical="center" wrapText="1"/>
    </xf>
    <xf numFmtId="0" fontId="9" fillId="0" borderId="20" xfId="0" applyFont="1" applyBorder="1" applyAlignment="1">
      <alignment horizontal="center" vertical="center" wrapText="1"/>
    </xf>
    <xf numFmtId="1" fontId="0" fillId="0" borderId="7" xfId="0" applyNumberFormat="1" applyBorder="1" applyAlignment="1">
      <alignment horizontal="center" vertical="center"/>
    </xf>
    <xf numFmtId="1" fontId="0" fillId="0" borderId="6" xfId="0" applyNumberFormat="1" applyBorder="1" applyAlignment="1">
      <alignment horizontal="center" vertical="center"/>
    </xf>
    <xf numFmtId="0" fontId="28" fillId="0" borderId="6" xfId="0" applyFont="1" applyBorder="1" applyAlignment="1">
      <alignment horizontal="center" vertical="center"/>
    </xf>
    <xf numFmtId="0" fontId="48" fillId="0" borderId="9" xfId="0" applyFont="1" applyBorder="1" applyAlignment="1">
      <alignment horizontal="center" vertical="center"/>
    </xf>
    <xf numFmtId="0" fontId="48" fillId="0" borderId="12" xfId="0" applyFont="1" applyBorder="1" applyAlignment="1">
      <alignment horizontal="center" vertical="center"/>
    </xf>
    <xf numFmtId="0" fontId="18" fillId="0" borderId="3" xfId="0" applyFont="1" applyBorder="1" applyAlignment="1">
      <alignment horizontal="center" vertical="center" wrapText="1"/>
    </xf>
    <xf numFmtId="0" fontId="0" fillId="0" borderId="6" xfId="0" applyBorder="1" applyAlignment="1">
      <alignment horizontal="center" vertical="center"/>
    </xf>
    <xf numFmtId="1" fontId="11" fillId="0" borderId="51" xfId="0" applyNumberFormat="1" applyFont="1" applyBorder="1" applyAlignment="1">
      <alignment horizontal="center" vertical="center"/>
    </xf>
    <xf numFmtId="1" fontId="11" fillId="0" borderId="6" xfId="0" applyNumberFormat="1" applyFont="1" applyBorder="1" applyAlignment="1">
      <alignment horizontal="center" vertical="center"/>
    </xf>
    <xf numFmtId="0" fontId="0" fillId="0" borderId="0" xfId="0"/>
    <xf numFmtId="1" fontId="6" fillId="0" borderId="2" xfId="0" applyNumberFormat="1" applyFont="1" applyBorder="1" applyAlignment="1">
      <alignment horizontal="center" vertical="center"/>
    </xf>
    <xf numFmtId="0" fontId="0" fillId="0" borderId="4" xfId="0" applyBorder="1" applyAlignment="1">
      <alignment horizontal="center" vertical="center"/>
    </xf>
    <xf numFmtId="1" fontId="6" fillId="0" borderId="9" xfId="0" applyNumberFormat="1" applyFont="1" applyBorder="1" applyAlignment="1">
      <alignment horizontal="center" vertical="center"/>
    </xf>
    <xf numFmtId="0" fontId="27" fillId="3" borderId="7" xfId="0" applyFont="1" applyFill="1" applyBorder="1" applyAlignment="1" applyProtection="1">
      <alignment horizontal="center" vertical="center"/>
      <protection locked="0"/>
    </xf>
    <xf numFmtId="0" fontId="27" fillId="3" borderId="6" xfId="0" applyFont="1" applyFill="1"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3" borderId="7" xfId="0" applyFill="1" applyBorder="1" applyAlignment="1" applyProtection="1">
      <alignment horizontal="center" vertical="center"/>
      <protection locked="0"/>
    </xf>
    <xf numFmtId="1" fontId="18" fillId="0" borderId="2" xfId="0" applyNumberFormat="1" applyFont="1" applyBorder="1" applyAlignment="1">
      <alignment horizontal="center" vertical="center"/>
    </xf>
    <xf numFmtId="1" fontId="18" fillId="0" borderId="6" xfId="0" applyNumberFormat="1" applyFont="1" applyBorder="1" applyAlignment="1">
      <alignment horizontal="center" vertical="center"/>
    </xf>
    <xf numFmtId="1" fontId="1" fillId="0" borderId="6" xfId="0" applyNumberFormat="1" applyFont="1" applyBorder="1" applyAlignment="1">
      <alignment horizontal="center" vertical="center"/>
    </xf>
    <xf numFmtId="0" fontId="1" fillId="3" borderId="6" xfId="0" applyFont="1" applyFill="1" applyBorder="1" applyAlignment="1" applyProtection="1">
      <alignment horizontal="center" vertical="center"/>
      <protection locked="0"/>
    </xf>
    <xf numFmtId="0" fontId="15" fillId="0" borderId="17" xfId="0" applyFont="1" applyBorder="1" applyAlignment="1">
      <alignment horizontal="right" vertical="center" wrapText="1"/>
    </xf>
    <xf numFmtId="0" fontId="15" fillId="0" borderId="5" xfId="0" applyFont="1" applyBorder="1" applyAlignment="1">
      <alignment horizontal="right" vertical="center" wrapText="1"/>
    </xf>
    <xf numFmtId="0" fontId="1" fillId="0" borderId="35" xfId="0" applyFont="1" applyBorder="1" applyAlignment="1">
      <alignment horizontal="center" vertical="center"/>
    </xf>
    <xf numFmtId="0" fontId="0" fillId="0" borderId="36" xfId="0" applyBorder="1" applyAlignment="1">
      <alignment horizontal="center" vertical="center"/>
    </xf>
    <xf numFmtId="1" fontId="23" fillId="3" borderId="58" xfId="0" applyNumberFormat="1" applyFont="1" applyFill="1" applyBorder="1" applyAlignment="1" applyProtection="1">
      <alignment horizontal="center" vertical="center"/>
      <protection locked="0"/>
    </xf>
    <xf numFmtId="0" fontId="0" fillId="3" borderId="48" xfId="0" applyFill="1" applyBorder="1" applyAlignment="1" applyProtection="1">
      <alignment horizontal="center" vertical="center"/>
      <protection locked="0"/>
    </xf>
    <xf numFmtId="1" fontId="23" fillId="3" borderId="6" xfId="0" applyNumberFormat="1" applyFont="1" applyFill="1" applyBorder="1" applyAlignment="1" applyProtection="1">
      <alignment horizontal="center" vertical="center"/>
      <protection locked="0"/>
    </xf>
    <xf numFmtId="0" fontId="0" fillId="3" borderId="18" xfId="0" applyFill="1" applyBorder="1" applyAlignment="1" applyProtection="1">
      <alignment horizontal="center" vertical="center"/>
      <protection locked="0"/>
    </xf>
    <xf numFmtId="0" fontId="9" fillId="0" borderId="7" xfId="0" applyFont="1" applyBorder="1" applyAlignment="1">
      <alignment horizontal="center" vertical="center" wrapText="1"/>
    </xf>
    <xf numFmtId="0" fontId="9" fillId="0" borderId="11" xfId="0" applyFont="1" applyBorder="1" applyAlignment="1">
      <alignment horizontal="center" vertical="center" wrapText="1"/>
    </xf>
    <xf numFmtId="0" fontId="0" fillId="0" borderId="42" xfId="0" applyBorder="1" applyAlignment="1">
      <alignment horizontal="center" vertical="center"/>
    </xf>
    <xf numFmtId="0" fontId="3" fillId="0" borderId="1" xfId="0" applyFont="1" applyBorder="1" applyAlignment="1">
      <alignment horizontal="center" vertical="center" wrapText="1"/>
    </xf>
    <xf numFmtId="0" fontId="23" fillId="0" borderId="0" xfId="0" applyFont="1" applyAlignment="1">
      <alignment horizontal="left" vertical="center" wrapText="1"/>
    </xf>
    <xf numFmtId="0" fontId="0" fillId="0" borderId="42" xfId="0" applyBorder="1" applyAlignment="1">
      <alignment horizontal="center" vertical="center" wrapText="1"/>
    </xf>
    <xf numFmtId="0" fontId="18" fillId="0" borderId="22" xfId="0" applyFont="1" applyBorder="1" applyAlignment="1">
      <alignment horizontal="center" vertical="center"/>
    </xf>
    <xf numFmtId="0" fontId="0" fillId="0" borderId="23" xfId="0"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1" fontId="2" fillId="3" borderId="1" xfId="0" applyNumberFormat="1" applyFont="1" applyFill="1" applyBorder="1" applyAlignment="1" applyProtection="1">
      <alignment horizontal="center" vertical="center"/>
      <protection locked="0"/>
    </xf>
    <xf numFmtId="0" fontId="1" fillId="0" borderId="0" xfId="0" applyFont="1" applyAlignment="1">
      <alignment horizontal="center" vertical="center" wrapText="1"/>
    </xf>
    <xf numFmtId="165" fontId="18" fillId="3" borderId="2" xfId="0" applyNumberFormat="1" applyFont="1" applyFill="1" applyBorder="1" applyAlignment="1" applyProtection="1">
      <alignment horizontal="center" vertical="center"/>
      <protection locked="0"/>
    </xf>
    <xf numFmtId="165" fontId="18" fillId="3" borderId="4" xfId="0" applyNumberFormat="1" applyFont="1" applyFill="1" applyBorder="1" applyAlignment="1" applyProtection="1">
      <alignment horizontal="center" vertical="center"/>
      <protection locked="0"/>
    </xf>
    <xf numFmtId="1" fontId="18" fillId="0" borderId="5" xfId="0" applyNumberFormat="1" applyFont="1" applyBorder="1" applyAlignment="1">
      <alignment horizontal="center" vertical="center"/>
    </xf>
    <xf numFmtId="1" fontId="18" fillId="3" borderId="8" xfId="0" applyNumberFormat="1" applyFont="1" applyFill="1" applyBorder="1" applyAlignment="1" applyProtection="1">
      <alignment horizontal="center" vertical="center"/>
      <protection locked="0"/>
    </xf>
    <xf numFmtId="1" fontId="74" fillId="0" borderId="6" xfId="0" applyNumberFormat="1" applyFont="1" applyBorder="1" applyAlignment="1">
      <alignment horizontal="center" vertical="center"/>
    </xf>
    <xf numFmtId="0" fontId="76" fillId="0" borderId="5" xfId="0" applyFont="1" applyBorder="1" applyAlignment="1">
      <alignment horizontal="center" vertical="center"/>
    </xf>
    <xf numFmtId="1" fontId="6" fillId="0" borderId="1" xfId="0" applyNumberFormat="1" applyFont="1" applyBorder="1" applyAlignment="1">
      <alignment horizontal="center" vertical="center"/>
    </xf>
    <xf numFmtId="0" fontId="0" fillId="3" borderId="6" xfId="0" applyFill="1" applyBorder="1" applyAlignment="1" applyProtection="1">
      <alignment horizontal="center" vertical="center"/>
      <protection locked="0"/>
    </xf>
    <xf numFmtId="0" fontId="0" fillId="3" borderId="5" xfId="0" applyFill="1" applyBorder="1" applyAlignment="1" applyProtection="1">
      <alignment horizontal="center" vertical="center"/>
      <protection locked="0"/>
    </xf>
    <xf numFmtId="0" fontId="1" fillId="3" borderId="1" xfId="0" applyFont="1" applyFill="1" applyBorder="1" applyAlignment="1" applyProtection="1">
      <alignment horizontal="center" vertical="center"/>
      <protection locked="0"/>
    </xf>
    <xf numFmtId="0" fontId="0" fillId="3" borderId="1" xfId="0" applyFill="1" applyBorder="1" applyAlignment="1" applyProtection="1">
      <alignment horizontal="center" vertical="center"/>
      <protection locked="0"/>
    </xf>
    <xf numFmtId="0" fontId="1" fillId="3" borderId="2" xfId="0" applyFont="1" applyFill="1" applyBorder="1" applyAlignment="1" applyProtection="1">
      <alignment horizontal="right" vertical="center"/>
      <protection locked="0"/>
    </xf>
    <xf numFmtId="0" fontId="1" fillId="3" borderId="4" xfId="0" applyFont="1" applyFill="1" applyBorder="1" applyAlignment="1" applyProtection="1">
      <alignment horizontal="right" vertical="center"/>
      <protection locked="0"/>
    </xf>
    <xf numFmtId="1" fontId="6" fillId="3" borderId="7" xfId="0" applyNumberFormat="1" applyFont="1" applyFill="1" applyBorder="1" applyAlignment="1" applyProtection="1">
      <alignment horizontal="center" vertical="center"/>
      <protection locked="0"/>
    </xf>
    <xf numFmtId="1" fontId="6" fillId="3" borderId="8" xfId="0" applyNumberFormat="1" applyFont="1" applyFill="1" applyBorder="1" applyAlignment="1" applyProtection="1">
      <alignment horizontal="center" vertical="center"/>
      <protection locked="0"/>
    </xf>
    <xf numFmtId="0" fontId="18" fillId="3" borderId="6" xfId="0" applyFont="1" applyFill="1" applyBorder="1" applyAlignment="1" applyProtection="1">
      <alignment horizontal="center" vertical="center"/>
      <protection locked="0"/>
    </xf>
    <xf numFmtId="0" fontId="18" fillId="3" borderId="5" xfId="0" applyFont="1" applyFill="1" applyBorder="1" applyAlignment="1" applyProtection="1">
      <alignment horizontal="center" vertical="center"/>
      <protection locked="0"/>
    </xf>
    <xf numFmtId="1" fontId="18" fillId="0" borderId="25" xfId="0" applyNumberFormat="1" applyFont="1" applyBorder="1" applyAlignment="1">
      <alignment horizontal="center" vertical="center"/>
    </xf>
    <xf numFmtId="0" fontId="9" fillId="0" borderId="12" xfId="0" applyFont="1" applyBorder="1" applyAlignment="1">
      <alignment horizontal="center" vertical="center" wrapText="1"/>
    </xf>
    <xf numFmtId="0" fontId="2" fillId="0" borderId="61" xfId="0" applyFont="1" applyBorder="1" applyAlignment="1">
      <alignment horizontal="center" vertical="center"/>
    </xf>
    <xf numFmtId="0" fontId="2" fillId="0" borderId="62" xfId="0" applyFont="1" applyBorder="1" applyAlignment="1">
      <alignment horizontal="center" vertical="center"/>
    </xf>
    <xf numFmtId="0" fontId="2" fillId="0" borderId="63" xfId="0" applyFont="1" applyBorder="1" applyAlignment="1">
      <alignment horizontal="center" vertical="center"/>
    </xf>
    <xf numFmtId="1" fontId="18" fillId="3" borderId="1" xfId="0" applyNumberFormat="1" applyFont="1" applyFill="1" applyBorder="1" applyAlignment="1" applyProtection="1">
      <alignment horizontal="center" vertical="center" wrapText="1"/>
      <protection locked="0"/>
    </xf>
    <xf numFmtId="1" fontId="18" fillId="2" borderId="2" xfId="0" applyNumberFormat="1" applyFont="1" applyFill="1" applyBorder="1" applyAlignment="1" applyProtection="1">
      <alignment horizontal="center" vertical="center" wrapText="1"/>
      <protection locked="0"/>
    </xf>
    <xf numFmtId="0" fontId="0" fillId="2" borderId="4" xfId="0" applyFill="1" applyBorder="1" applyAlignment="1" applyProtection="1">
      <alignment horizontal="center" vertical="center" wrapText="1"/>
      <protection locked="0"/>
    </xf>
    <xf numFmtId="1" fontId="11" fillId="0" borderId="5" xfId="0" applyNumberFormat="1" applyFont="1" applyBorder="1" applyAlignment="1">
      <alignment horizontal="center" vertical="center"/>
    </xf>
    <xf numFmtId="0" fontId="0" fillId="3" borderId="2" xfId="0" applyFill="1" applyBorder="1" applyAlignment="1" applyProtection="1">
      <alignment horizontal="center" vertical="center"/>
      <protection locked="0"/>
    </xf>
    <xf numFmtId="0" fontId="0" fillId="3" borderId="4" xfId="0" applyFill="1" applyBorder="1" applyAlignment="1" applyProtection="1">
      <alignment horizontal="center" vertical="center"/>
      <protection locked="0"/>
    </xf>
    <xf numFmtId="0" fontId="26" fillId="0" borderId="0" xfId="0" applyFont="1" applyAlignment="1">
      <alignment horizontal="center" vertical="center" wrapText="1"/>
    </xf>
    <xf numFmtId="0" fontId="0" fillId="0" borderId="23" xfId="0" applyBorder="1" applyAlignment="1">
      <alignment vertical="center"/>
    </xf>
    <xf numFmtId="0" fontId="0" fillId="0" borderId="24" xfId="0" applyBorder="1" applyAlignment="1">
      <alignment vertical="center"/>
    </xf>
    <xf numFmtId="1" fontId="22" fillId="3" borderId="1" xfId="0" applyNumberFormat="1" applyFont="1" applyFill="1" applyBorder="1" applyAlignment="1" applyProtection="1">
      <alignment horizontal="center" vertical="center" wrapText="1"/>
      <protection locked="0"/>
    </xf>
    <xf numFmtId="1" fontId="22" fillId="3" borderId="2" xfId="0" applyNumberFormat="1" applyFont="1" applyFill="1" applyBorder="1" applyAlignment="1" applyProtection="1">
      <alignment horizontal="center" vertical="center" wrapText="1"/>
      <protection locked="0"/>
    </xf>
    <xf numFmtId="1" fontId="22" fillId="3" borderId="4" xfId="0" applyNumberFormat="1" applyFont="1" applyFill="1" applyBorder="1" applyAlignment="1" applyProtection="1">
      <alignment horizontal="center" vertical="center" wrapText="1"/>
      <protection locked="0"/>
    </xf>
    <xf numFmtId="1" fontId="74" fillId="0" borderId="5" xfId="0" applyNumberFormat="1" applyFont="1" applyBorder="1" applyAlignment="1">
      <alignment horizontal="center" vertical="center"/>
    </xf>
    <xf numFmtId="0" fontId="0" fillId="0" borderId="0" xfId="0" applyAlignment="1">
      <alignment wrapText="1"/>
    </xf>
    <xf numFmtId="1" fontId="6" fillId="0" borderId="4" xfId="0" applyNumberFormat="1" applyFont="1" applyBorder="1" applyAlignment="1">
      <alignment horizontal="center" vertical="center"/>
    </xf>
    <xf numFmtId="0" fontId="18"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5" xfId="0" applyFont="1" applyBorder="1" applyAlignment="1">
      <alignment horizontal="center" vertical="center" wrapText="1"/>
    </xf>
    <xf numFmtId="0" fontId="1" fillId="0" borderId="7" xfId="0" applyFont="1" applyBorder="1" applyAlignment="1">
      <alignment horizontal="center" vertical="center"/>
    </xf>
    <xf numFmtId="1" fontId="1" fillId="0" borderId="9" xfId="0" applyNumberFormat="1" applyFont="1" applyBorder="1" applyAlignment="1">
      <alignment horizontal="center" vertical="center" wrapText="1"/>
    </xf>
    <xf numFmtId="1" fontId="0" fillId="0" borderId="10" xfId="0" applyNumberFormat="1" applyBorder="1" applyAlignment="1">
      <alignment horizontal="center" vertical="center"/>
    </xf>
    <xf numFmtId="1" fontId="0" fillId="0" borderId="10" xfId="0" applyNumberFormat="1" applyBorder="1" applyAlignment="1">
      <alignment horizontal="center" vertical="center" wrapText="1"/>
    </xf>
    <xf numFmtId="0" fontId="0" fillId="6" borderId="0" xfId="0" applyFill="1" applyAlignment="1">
      <alignment horizontal="center"/>
    </xf>
    <xf numFmtId="0" fontId="0" fillId="3" borderId="0" xfId="0" applyFill="1" applyAlignment="1">
      <alignment horizontal="center"/>
    </xf>
    <xf numFmtId="0" fontId="0" fillId="7" borderId="0" xfId="0" applyFill="1" applyAlignment="1">
      <alignment horizontal="center"/>
    </xf>
    <xf numFmtId="0" fontId="0" fillId="8" borderId="0" xfId="0" applyFill="1" applyAlignment="1">
      <alignment horizontal="center"/>
    </xf>
  </cellXfs>
  <cellStyles count="5">
    <cellStyle name="Komma" xfId="1" builtinId="3"/>
    <cellStyle name="Link" xfId="3" builtinId="8"/>
    <cellStyle name="Prozent" xfId="4" builtinId="5"/>
    <cellStyle name="Standard" xfId="0" builtinId="0"/>
    <cellStyle name="Währung" xfId="2" builtinId="4"/>
  </cellStyles>
  <dxfs count="2">
    <dxf>
      <fill>
        <patternFill>
          <bgColor rgb="FFFFC7CE"/>
        </patternFill>
      </fill>
    </dxf>
    <dxf>
      <fill>
        <patternFill>
          <bgColor rgb="FFFFC7CE"/>
        </patternFill>
      </fill>
    </dxf>
  </dxfs>
  <tableStyles count="0" defaultTableStyle="TableStyleMedium2" defaultPivotStyle="PivotStyleLight16"/>
  <colors>
    <mruColors>
      <color rgb="FF1C21DA"/>
      <color rgb="FFFFD3C9"/>
      <color rgb="FF222E9E"/>
      <color rgb="FFFFFF66"/>
      <color rgb="FFF7AFAF"/>
      <color rgb="FF9AA878"/>
      <color rgb="FFFFABAB"/>
      <color rgb="FFCCFF99"/>
      <color rgb="FFFF505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342501150143916E-2"/>
          <c:y val="7.4548702245552642E-2"/>
          <c:w val="0.781615298087739"/>
          <c:h val="0.8326195683872849"/>
        </c:manualLayout>
      </c:layout>
      <c:scatterChart>
        <c:scatterStyle val="lineMarker"/>
        <c:varyColors val="0"/>
        <c:ser>
          <c:idx val="0"/>
          <c:order val="0"/>
          <c:tx>
            <c:strRef>
              <c:f>Wz!$C$95</c:f>
              <c:strCache>
                <c:ptCount val="1"/>
                <c:pt idx="0">
                  <c:v>DüV</c:v>
                </c:pt>
              </c:strCache>
            </c:strRef>
          </c:tx>
          <c:spPr>
            <a:ln w="28575">
              <a:noFill/>
            </a:ln>
          </c:spPr>
          <c:xVal>
            <c:numRef>
              <c:f>Wz!$B$96:$B$104</c:f>
              <c:numCache>
                <c:formatCode>General</c:formatCode>
                <c:ptCount val="9"/>
                <c:pt idx="0">
                  <c:v>50</c:v>
                </c:pt>
                <c:pt idx="1">
                  <c:v>60</c:v>
                </c:pt>
                <c:pt idx="2">
                  <c:v>70</c:v>
                </c:pt>
                <c:pt idx="3">
                  <c:v>80</c:v>
                </c:pt>
                <c:pt idx="4">
                  <c:v>83</c:v>
                </c:pt>
                <c:pt idx="5">
                  <c:v>90</c:v>
                </c:pt>
                <c:pt idx="6">
                  <c:v>99</c:v>
                </c:pt>
                <c:pt idx="7">
                  <c:v>100</c:v>
                </c:pt>
                <c:pt idx="8">
                  <c:v>110</c:v>
                </c:pt>
              </c:numCache>
            </c:numRef>
          </c:xVal>
          <c:yVal>
            <c:numRef>
              <c:f>Wz!$C$96:$C$104</c:f>
              <c:numCache>
                <c:formatCode>General</c:formatCode>
                <c:ptCount val="9"/>
                <c:pt idx="0">
                  <c:v>185</c:v>
                </c:pt>
                <c:pt idx="1">
                  <c:v>200</c:v>
                </c:pt>
                <c:pt idx="2">
                  <c:v>215</c:v>
                </c:pt>
                <c:pt idx="3">
                  <c:v>230</c:v>
                </c:pt>
                <c:pt idx="5">
                  <c:v>240</c:v>
                </c:pt>
                <c:pt idx="7">
                  <c:v>250</c:v>
                </c:pt>
                <c:pt idx="8">
                  <c:v>260</c:v>
                </c:pt>
              </c:numCache>
            </c:numRef>
          </c:yVal>
          <c:smooth val="0"/>
          <c:extLst>
            <c:ext xmlns:c16="http://schemas.microsoft.com/office/drawing/2014/chart" uri="{C3380CC4-5D6E-409C-BE32-E72D297353CC}">
              <c16:uniqueId val="{00000000-07CB-4C92-9FB2-B5372F0A75D7}"/>
            </c:ext>
          </c:extLst>
        </c:ser>
        <c:ser>
          <c:idx val="1"/>
          <c:order val="1"/>
          <c:tx>
            <c:strRef>
              <c:f>Wz!$D$95</c:f>
              <c:strCache>
                <c:ptCount val="1"/>
                <c:pt idx="0">
                  <c:v>Versuche 2010-16</c:v>
                </c:pt>
              </c:strCache>
            </c:strRef>
          </c:tx>
          <c:spPr>
            <a:ln w="28575">
              <a:noFill/>
            </a:ln>
          </c:spPr>
          <c:xVal>
            <c:numRef>
              <c:f>Wz!$B$96:$B$104</c:f>
              <c:numCache>
                <c:formatCode>General</c:formatCode>
                <c:ptCount val="9"/>
                <c:pt idx="0">
                  <c:v>50</c:v>
                </c:pt>
                <c:pt idx="1">
                  <c:v>60</c:v>
                </c:pt>
                <c:pt idx="2">
                  <c:v>70</c:v>
                </c:pt>
                <c:pt idx="3">
                  <c:v>80</c:v>
                </c:pt>
                <c:pt idx="4">
                  <c:v>83</c:v>
                </c:pt>
                <c:pt idx="5">
                  <c:v>90</c:v>
                </c:pt>
                <c:pt idx="6">
                  <c:v>99</c:v>
                </c:pt>
                <c:pt idx="7">
                  <c:v>100</c:v>
                </c:pt>
                <c:pt idx="8">
                  <c:v>110</c:v>
                </c:pt>
              </c:numCache>
            </c:numRef>
          </c:xVal>
          <c:yVal>
            <c:numRef>
              <c:f>Wz!$D$96:$D$104</c:f>
              <c:numCache>
                <c:formatCode>General</c:formatCode>
                <c:ptCount val="9"/>
                <c:pt idx="2">
                  <c:v>187</c:v>
                </c:pt>
                <c:pt idx="4">
                  <c:v>223</c:v>
                </c:pt>
                <c:pt idx="6">
                  <c:v>241</c:v>
                </c:pt>
              </c:numCache>
            </c:numRef>
          </c:yVal>
          <c:smooth val="0"/>
          <c:extLst>
            <c:ext xmlns:c16="http://schemas.microsoft.com/office/drawing/2014/chart" uri="{C3380CC4-5D6E-409C-BE32-E72D297353CC}">
              <c16:uniqueId val="{00000001-07CB-4C92-9FB2-B5372F0A75D7}"/>
            </c:ext>
          </c:extLst>
        </c:ser>
        <c:dLbls>
          <c:showLegendKey val="0"/>
          <c:showVal val="0"/>
          <c:showCatName val="0"/>
          <c:showSerName val="0"/>
          <c:showPercent val="0"/>
          <c:showBubbleSize val="0"/>
        </c:dLbls>
        <c:axId val="211000592"/>
        <c:axId val="211000984"/>
      </c:scatterChart>
      <c:valAx>
        <c:axId val="211000592"/>
        <c:scaling>
          <c:orientation val="minMax"/>
          <c:max val="120"/>
        </c:scaling>
        <c:delete val="0"/>
        <c:axPos val="b"/>
        <c:majorGridlines/>
        <c:minorGridlines>
          <c:spPr>
            <a:ln>
              <a:noFill/>
            </a:ln>
          </c:spPr>
        </c:minorGridlines>
        <c:numFmt formatCode="General" sourceLinked="1"/>
        <c:majorTickMark val="out"/>
        <c:minorTickMark val="none"/>
        <c:tickLblPos val="nextTo"/>
        <c:crossAx val="211000984"/>
        <c:crosses val="autoZero"/>
        <c:crossBetween val="midCat"/>
        <c:majorUnit val="10"/>
      </c:valAx>
      <c:valAx>
        <c:axId val="211000984"/>
        <c:scaling>
          <c:orientation val="minMax"/>
        </c:scaling>
        <c:delete val="0"/>
        <c:axPos val="l"/>
        <c:majorGridlines/>
        <c:numFmt formatCode="General" sourceLinked="1"/>
        <c:majorTickMark val="out"/>
        <c:minorTickMark val="none"/>
        <c:tickLblPos val="nextTo"/>
        <c:crossAx val="211000592"/>
        <c:crosses val="autoZero"/>
        <c:crossBetween val="midCat"/>
      </c:valAx>
    </c:plotArea>
    <c:legend>
      <c:legendPos val="r"/>
      <c:layout>
        <c:manualLayout>
          <c:xMode val="edge"/>
          <c:yMode val="edge"/>
          <c:x val="0.82639125686597925"/>
          <c:y val="0.43480132691746864"/>
          <c:w val="0.17189439455257974"/>
          <c:h val="0.3989158646835812"/>
        </c:manualLayout>
      </c:layout>
      <c:overlay val="0"/>
    </c:legend>
    <c:plotVisOnly val="1"/>
    <c:dispBlanksAs val="gap"/>
    <c:showDLblsOverMax val="0"/>
  </c:chart>
  <c:printSettings>
    <c:headerFooter/>
    <c:pageMargins b="0.78740157499999996" l="0.7" r="0.7" t="0.78740157499999996"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000" b="0"/>
              <a:t>P2O5</a:t>
            </a:r>
          </a:p>
        </c:rich>
      </c:tx>
      <c:layout>
        <c:manualLayout>
          <c:xMode val="edge"/>
          <c:yMode val="edge"/>
          <c:x val="1.9437445319335073E-2"/>
          <c:y val="2.7777777777777776E-2"/>
        </c:manualLayout>
      </c:layout>
      <c:overlay val="0"/>
    </c:title>
    <c:autoTitleDeleted val="0"/>
    <c:plotArea>
      <c:layout>
        <c:manualLayout>
          <c:layoutTarget val="inner"/>
          <c:xMode val="edge"/>
          <c:yMode val="edge"/>
          <c:x val="0.12322402879887369"/>
          <c:y val="0.1403127734033246"/>
          <c:w val="0.52800606830091057"/>
          <c:h val="0.73444808982210552"/>
        </c:manualLayout>
      </c:layout>
      <c:scatterChart>
        <c:scatterStyle val="lineMarker"/>
        <c:varyColors val="0"/>
        <c:ser>
          <c:idx val="0"/>
          <c:order val="0"/>
          <c:tx>
            <c:strRef>
              <c:f>Funktionen!$K$4</c:f>
              <c:strCache>
                <c:ptCount val="1"/>
                <c:pt idx="0">
                  <c:v>P2O5</c:v>
                </c:pt>
              </c:strCache>
            </c:strRef>
          </c:tx>
          <c:spPr>
            <a:ln w="28575">
              <a:noFill/>
            </a:ln>
          </c:spPr>
          <c:trendline>
            <c:trendlineType val="poly"/>
            <c:order val="2"/>
            <c:dispRSqr val="0"/>
            <c:dispEq val="1"/>
            <c:trendlineLbl>
              <c:layout>
                <c:manualLayout>
                  <c:x val="7.1759342616222951E-2"/>
                  <c:y val="0.42525371828521435"/>
                </c:manualLayout>
              </c:layout>
              <c:numFmt formatCode="#,##0.0000" sourceLinked="0"/>
            </c:trendlineLbl>
          </c:trendline>
          <c:xVal>
            <c:numRef>
              <c:f>Funktionen!$J$5:$J$9</c:f>
              <c:numCache>
                <c:formatCode>General</c:formatCode>
                <c:ptCount val="5"/>
                <c:pt idx="0">
                  <c:v>3</c:v>
                </c:pt>
                <c:pt idx="1">
                  <c:v>2.5</c:v>
                </c:pt>
                <c:pt idx="2">
                  <c:v>2</c:v>
                </c:pt>
                <c:pt idx="3">
                  <c:v>1.5</c:v>
                </c:pt>
                <c:pt idx="4">
                  <c:v>1</c:v>
                </c:pt>
              </c:numCache>
            </c:numRef>
          </c:xVal>
          <c:yVal>
            <c:numRef>
              <c:f>Funktionen!$K$5:$K$9</c:f>
              <c:numCache>
                <c:formatCode>General</c:formatCode>
                <c:ptCount val="5"/>
                <c:pt idx="0">
                  <c:v>1</c:v>
                </c:pt>
                <c:pt idx="1">
                  <c:v>0.95</c:v>
                </c:pt>
                <c:pt idx="2">
                  <c:v>0.87</c:v>
                </c:pt>
                <c:pt idx="3">
                  <c:v>0.76</c:v>
                </c:pt>
                <c:pt idx="4">
                  <c:v>0.62</c:v>
                </c:pt>
              </c:numCache>
            </c:numRef>
          </c:yVal>
          <c:smooth val="0"/>
          <c:extLst>
            <c:ext xmlns:c16="http://schemas.microsoft.com/office/drawing/2014/chart" uri="{C3380CC4-5D6E-409C-BE32-E72D297353CC}">
              <c16:uniqueId val="{00000000-8042-4C56-96E5-60C61BEF0303}"/>
            </c:ext>
          </c:extLst>
        </c:ser>
        <c:dLbls>
          <c:showLegendKey val="0"/>
          <c:showVal val="0"/>
          <c:showCatName val="0"/>
          <c:showSerName val="0"/>
          <c:showPercent val="0"/>
          <c:showBubbleSize val="0"/>
        </c:dLbls>
        <c:axId val="212333152"/>
        <c:axId val="212333544"/>
      </c:scatterChart>
      <c:valAx>
        <c:axId val="212333152"/>
        <c:scaling>
          <c:orientation val="minMax"/>
        </c:scaling>
        <c:delete val="0"/>
        <c:axPos val="b"/>
        <c:numFmt formatCode="General" sourceLinked="1"/>
        <c:majorTickMark val="out"/>
        <c:minorTickMark val="none"/>
        <c:tickLblPos val="nextTo"/>
        <c:crossAx val="212333544"/>
        <c:crosses val="autoZero"/>
        <c:crossBetween val="midCat"/>
      </c:valAx>
      <c:valAx>
        <c:axId val="212333544"/>
        <c:scaling>
          <c:orientation val="minMax"/>
          <c:min val="0"/>
        </c:scaling>
        <c:delete val="0"/>
        <c:axPos val="l"/>
        <c:majorGridlines/>
        <c:numFmt formatCode="General" sourceLinked="1"/>
        <c:majorTickMark val="out"/>
        <c:minorTickMark val="none"/>
        <c:tickLblPos val="nextTo"/>
        <c:crossAx val="212333152"/>
        <c:crosses val="autoZero"/>
        <c:crossBetween val="midCat"/>
      </c:valAx>
    </c:plotArea>
    <c:legend>
      <c:legendPos val="r"/>
      <c:legendEntry>
        <c:idx val="1"/>
        <c:delete val="1"/>
      </c:legendEntry>
      <c:overlay val="0"/>
    </c:legend>
    <c:plotVisOnly val="1"/>
    <c:dispBlanksAs val="gap"/>
    <c:showDLblsOverMax val="0"/>
  </c:chart>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2.423665791776052E-3"/>
          <c:y val="2.7777777777777776E-2"/>
        </c:manualLayout>
      </c:layout>
      <c:overlay val="0"/>
      <c:txPr>
        <a:bodyPr/>
        <a:lstStyle/>
        <a:p>
          <a:pPr>
            <a:defRPr sz="1200" b="0"/>
          </a:pPr>
          <a:endParaRPr lang="de-DE"/>
        </a:p>
      </c:txPr>
    </c:title>
    <c:autoTitleDeleted val="0"/>
    <c:plotArea>
      <c:layout/>
      <c:scatterChart>
        <c:scatterStyle val="lineMarker"/>
        <c:varyColors val="0"/>
        <c:ser>
          <c:idx val="0"/>
          <c:order val="0"/>
          <c:tx>
            <c:strRef>
              <c:f>'Wi-BrGe'!$C$70</c:f>
              <c:strCache>
                <c:ptCount val="1"/>
                <c:pt idx="0">
                  <c:v>kg N/ha</c:v>
                </c:pt>
              </c:strCache>
            </c:strRef>
          </c:tx>
          <c:spPr>
            <a:ln w="28575">
              <a:noFill/>
            </a:ln>
          </c:spPr>
          <c:trendline>
            <c:trendlineType val="poly"/>
            <c:order val="2"/>
            <c:dispRSqr val="0"/>
            <c:dispEq val="1"/>
            <c:trendlineLbl>
              <c:layout>
                <c:manualLayout>
                  <c:x val="-0.17978674540682416"/>
                  <c:y val="2.3038422280548265E-2"/>
                </c:manualLayout>
              </c:layout>
              <c:numFmt formatCode="#,##0.000000" sourceLinked="0"/>
            </c:trendlineLbl>
          </c:trendline>
          <c:xVal>
            <c:numRef>
              <c:f>'Wi-BrGe'!$B$71:$B$77</c:f>
              <c:numCache>
                <c:formatCode>General</c:formatCode>
                <c:ptCount val="7"/>
                <c:pt idx="0">
                  <c:v>50</c:v>
                </c:pt>
                <c:pt idx="1">
                  <c:v>60</c:v>
                </c:pt>
                <c:pt idx="2">
                  <c:v>70</c:v>
                </c:pt>
                <c:pt idx="3">
                  <c:v>80</c:v>
                </c:pt>
                <c:pt idx="4">
                  <c:v>90</c:v>
                </c:pt>
                <c:pt idx="5">
                  <c:v>100</c:v>
                </c:pt>
                <c:pt idx="6">
                  <c:v>110</c:v>
                </c:pt>
              </c:numCache>
            </c:numRef>
          </c:xVal>
          <c:yVal>
            <c:numRef>
              <c:f>'Wi-BrGe'!$C$71:$C$77</c:f>
              <c:numCache>
                <c:formatCode>General</c:formatCode>
                <c:ptCount val="7"/>
                <c:pt idx="0">
                  <c:v>110</c:v>
                </c:pt>
                <c:pt idx="1">
                  <c:v>124.5</c:v>
                </c:pt>
                <c:pt idx="2">
                  <c:v>138</c:v>
                </c:pt>
                <c:pt idx="3">
                  <c:v>149.5</c:v>
                </c:pt>
                <c:pt idx="4">
                  <c:v>160</c:v>
                </c:pt>
                <c:pt idx="5">
                  <c:v>169.5</c:v>
                </c:pt>
                <c:pt idx="6">
                  <c:v>178</c:v>
                </c:pt>
              </c:numCache>
            </c:numRef>
          </c:yVal>
          <c:smooth val="0"/>
          <c:extLst>
            <c:ext xmlns:c16="http://schemas.microsoft.com/office/drawing/2014/chart" uri="{C3380CC4-5D6E-409C-BE32-E72D297353CC}">
              <c16:uniqueId val="{00000000-461D-4CE4-ABD3-81920E8D0638}"/>
            </c:ext>
          </c:extLst>
        </c:ser>
        <c:dLbls>
          <c:showLegendKey val="0"/>
          <c:showVal val="0"/>
          <c:showCatName val="0"/>
          <c:showSerName val="0"/>
          <c:showPercent val="0"/>
          <c:showBubbleSize val="0"/>
        </c:dLbls>
        <c:axId val="211001768"/>
        <c:axId val="211002160"/>
      </c:scatterChart>
      <c:valAx>
        <c:axId val="211001768"/>
        <c:scaling>
          <c:orientation val="minMax"/>
          <c:min val="30"/>
        </c:scaling>
        <c:delete val="0"/>
        <c:axPos val="b"/>
        <c:numFmt formatCode="General" sourceLinked="1"/>
        <c:majorTickMark val="out"/>
        <c:minorTickMark val="none"/>
        <c:tickLblPos val="nextTo"/>
        <c:crossAx val="211002160"/>
        <c:crosses val="autoZero"/>
        <c:crossBetween val="midCat"/>
      </c:valAx>
      <c:valAx>
        <c:axId val="211002160"/>
        <c:scaling>
          <c:orientation val="minMax"/>
          <c:max val="200"/>
          <c:min val="75"/>
        </c:scaling>
        <c:delete val="0"/>
        <c:axPos val="l"/>
        <c:majorGridlines/>
        <c:numFmt formatCode="General" sourceLinked="1"/>
        <c:majorTickMark val="out"/>
        <c:minorTickMark val="none"/>
        <c:tickLblPos val="nextTo"/>
        <c:crossAx val="211001768"/>
        <c:crosses val="autoZero"/>
        <c:crossBetween val="midCat"/>
        <c:majorUnit val="25"/>
      </c:valAx>
    </c:plotArea>
    <c:plotVisOnly val="1"/>
    <c:dispBlanksAs val="gap"/>
    <c:showDLblsOverMax val="0"/>
  </c:chart>
  <c:printSettings>
    <c:headerFooter/>
    <c:pageMargins b="0.78740157499999996" l="0.7" r="0.7" t="0.78740157499999996"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1200"/>
          </a:pPr>
          <a:endParaRPr lang="de-DE"/>
        </a:p>
      </c:txPr>
    </c:title>
    <c:autoTitleDeleted val="0"/>
    <c:plotArea>
      <c:layout/>
      <c:scatterChart>
        <c:scatterStyle val="lineMarker"/>
        <c:varyColors val="0"/>
        <c:ser>
          <c:idx val="0"/>
          <c:order val="0"/>
          <c:tx>
            <c:strRef>
              <c:f>'So-Ge'!$C$68</c:f>
              <c:strCache>
                <c:ptCount val="1"/>
                <c:pt idx="0">
                  <c:v>Ertragsabhängige N-Sollwerte in kg N/ha</c:v>
                </c:pt>
              </c:strCache>
            </c:strRef>
          </c:tx>
          <c:spPr>
            <a:ln w="28575">
              <a:noFill/>
            </a:ln>
          </c:spPr>
          <c:trendline>
            <c:trendlineType val="poly"/>
            <c:order val="2"/>
            <c:dispRSqr val="0"/>
            <c:dispEq val="1"/>
            <c:trendlineLbl>
              <c:layout>
                <c:manualLayout>
                  <c:x val="-0.20912600878161258"/>
                  <c:y val="-4.3277194517352E-2"/>
                </c:manualLayout>
              </c:layout>
              <c:numFmt formatCode="#,##0.000000" sourceLinked="0"/>
            </c:trendlineLbl>
          </c:trendline>
          <c:xVal>
            <c:numRef>
              <c:f>'So-Ge'!$B$69:$B$75</c:f>
              <c:numCache>
                <c:formatCode>General</c:formatCode>
                <c:ptCount val="7"/>
                <c:pt idx="0">
                  <c:v>40</c:v>
                </c:pt>
                <c:pt idx="1">
                  <c:v>50</c:v>
                </c:pt>
                <c:pt idx="2">
                  <c:v>60</c:v>
                </c:pt>
                <c:pt idx="3">
                  <c:v>70</c:v>
                </c:pt>
                <c:pt idx="4">
                  <c:v>80</c:v>
                </c:pt>
                <c:pt idx="5">
                  <c:v>90</c:v>
                </c:pt>
                <c:pt idx="6">
                  <c:v>100</c:v>
                </c:pt>
              </c:numCache>
            </c:numRef>
          </c:xVal>
          <c:yVal>
            <c:numRef>
              <c:f>'So-Ge'!$C$69:$C$75</c:f>
              <c:numCache>
                <c:formatCode>General</c:formatCode>
                <c:ptCount val="7"/>
                <c:pt idx="0">
                  <c:v>110</c:v>
                </c:pt>
                <c:pt idx="1">
                  <c:v>125</c:v>
                </c:pt>
                <c:pt idx="2">
                  <c:v>139</c:v>
                </c:pt>
                <c:pt idx="3">
                  <c:v>151.5</c:v>
                </c:pt>
                <c:pt idx="4">
                  <c:v>162.5</c:v>
                </c:pt>
                <c:pt idx="5">
                  <c:v>172</c:v>
                </c:pt>
                <c:pt idx="6">
                  <c:v>180</c:v>
                </c:pt>
              </c:numCache>
            </c:numRef>
          </c:yVal>
          <c:smooth val="0"/>
          <c:extLst>
            <c:ext xmlns:c16="http://schemas.microsoft.com/office/drawing/2014/chart" uri="{C3380CC4-5D6E-409C-BE32-E72D297353CC}">
              <c16:uniqueId val="{00000000-621D-457F-9857-74F1766908FC}"/>
            </c:ext>
          </c:extLst>
        </c:ser>
        <c:dLbls>
          <c:showLegendKey val="0"/>
          <c:showVal val="0"/>
          <c:showCatName val="0"/>
          <c:showSerName val="0"/>
          <c:showPercent val="0"/>
          <c:showBubbleSize val="0"/>
        </c:dLbls>
        <c:axId val="211002944"/>
        <c:axId val="211003336"/>
      </c:scatterChart>
      <c:valAx>
        <c:axId val="211002944"/>
        <c:scaling>
          <c:orientation val="minMax"/>
          <c:min val="20"/>
        </c:scaling>
        <c:delete val="0"/>
        <c:axPos val="b"/>
        <c:numFmt formatCode="General" sourceLinked="1"/>
        <c:majorTickMark val="out"/>
        <c:minorTickMark val="none"/>
        <c:tickLblPos val="nextTo"/>
        <c:crossAx val="211003336"/>
        <c:crosses val="autoZero"/>
        <c:crossBetween val="midCat"/>
      </c:valAx>
      <c:valAx>
        <c:axId val="211003336"/>
        <c:scaling>
          <c:orientation val="minMax"/>
          <c:max val="200"/>
          <c:min val="75"/>
        </c:scaling>
        <c:delete val="0"/>
        <c:axPos val="l"/>
        <c:majorGridlines/>
        <c:numFmt formatCode="General" sourceLinked="1"/>
        <c:majorTickMark val="out"/>
        <c:minorTickMark val="none"/>
        <c:tickLblPos val="nextTo"/>
        <c:crossAx val="211002944"/>
        <c:crosses val="autoZero"/>
        <c:crossBetween val="midCat"/>
        <c:majorUnit val="25"/>
      </c:valAx>
    </c:plotArea>
    <c:plotVisOnly val="1"/>
    <c:dispBlanksAs val="gap"/>
    <c:showDLblsOverMax val="0"/>
  </c:chart>
  <c:printSettings>
    <c:headerFooter/>
    <c:pageMargins b="0.78740157499999996" l="0.7" r="0.7" t="0.78740157499999996"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857392825896757E-2"/>
          <c:y val="0.14862277631962673"/>
          <c:w val="0.69818740157480319"/>
          <c:h val="0.73539734616506269"/>
        </c:manualLayout>
      </c:layout>
      <c:scatterChart>
        <c:scatterStyle val="lineMarker"/>
        <c:varyColors val="0"/>
        <c:ser>
          <c:idx val="0"/>
          <c:order val="0"/>
          <c:tx>
            <c:strRef>
              <c:f>ZRübe!$C$69</c:f>
              <c:strCache>
                <c:ptCount val="1"/>
                <c:pt idx="0">
                  <c:v>DüV-N-Obergr.</c:v>
                </c:pt>
              </c:strCache>
            </c:strRef>
          </c:tx>
          <c:spPr>
            <a:ln w="28575">
              <a:noFill/>
            </a:ln>
          </c:spPr>
          <c:xVal>
            <c:numRef>
              <c:f>ZRübe!$B$70:$B$75</c:f>
              <c:numCache>
                <c:formatCode>General</c:formatCode>
                <c:ptCount val="6"/>
                <c:pt idx="0">
                  <c:v>450</c:v>
                </c:pt>
                <c:pt idx="1">
                  <c:v>550</c:v>
                </c:pt>
                <c:pt idx="2">
                  <c:v>650</c:v>
                </c:pt>
                <c:pt idx="3">
                  <c:v>750</c:v>
                </c:pt>
                <c:pt idx="4">
                  <c:v>850</c:v>
                </c:pt>
                <c:pt idx="5">
                  <c:v>950</c:v>
                </c:pt>
              </c:numCache>
            </c:numRef>
          </c:xVal>
          <c:yVal>
            <c:numRef>
              <c:f>ZRübe!$C$70:$C$75</c:f>
              <c:numCache>
                <c:formatCode>General</c:formatCode>
                <c:ptCount val="6"/>
                <c:pt idx="0">
                  <c:v>140</c:v>
                </c:pt>
                <c:pt idx="1">
                  <c:v>155</c:v>
                </c:pt>
                <c:pt idx="2">
                  <c:v>170</c:v>
                </c:pt>
                <c:pt idx="3">
                  <c:v>180</c:v>
                </c:pt>
                <c:pt idx="4">
                  <c:v>190</c:v>
                </c:pt>
                <c:pt idx="5">
                  <c:v>200</c:v>
                </c:pt>
              </c:numCache>
            </c:numRef>
          </c:yVal>
          <c:smooth val="0"/>
          <c:extLst>
            <c:ext xmlns:c16="http://schemas.microsoft.com/office/drawing/2014/chart" uri="{C3380CC4-5D6E-409C-BE32-E72D297353CC}">
              <c16:uniqueId val="{00000000-7035-4D98-AA8D-DCD183ACF627}"/>
            </c:ext>
          </c:extLst>
        </c:ser>
        <c:ser>
          <c:idx val="1"/>
          <c:order val="1"/>
          <c:tx>
            <c:strRef>
              <c:f>ZRübe!$G$69</c:f>
              <c:strCache>
                <c:ptCount val="1"/>
                <c:pt idx="0">
                  <c:v>Aufn. * 0,9 in kg N/ha</c:v>
                </c:pt>
              </c:strCache>
            </c:strRef>
          </c:tx>
          <c:spPr>
            <a:ln w="28575">
              <a:noFill/>
            </a:ln>
          </c:spPr>
          <c:trendline>
            <c:trendlineType val="poly"/>
            <c:order val="2"/>
            <c:dispRSqr val="0"/>
            <c:dispEq val="0"/>
          </c:trendline>
          <c:trendline>
            <c:trendlineType val="poly"/>
            <c:order val="2"/>
            <c:dispRSqr val="0"/>
            <c:dispEq val="1"/>
            <c:trendlineLbl>
              <c:layout>
                <c:manualLayout>
                  <c:x val="-0.19902432195975503"/>
                  <c:y val="1.8401866433362497E-3"/>
                </c:manualLayout>
              </c:layout>
              <c:numFmt formatCode="#,##0.000000" sourceLinked="0"/>
            </c:trendlineLbl>
          </c:trendline>
          <c:xVal>
            <c:numRef>
              <c:f>ZRübe!$B$70:$B$75</c:f>
              <c:numCache>
                <c:formatCode>General</c:formatCode>
                <c:ptCount val="6"/>
                <c:pt idx="0">
                  <c:v>450</c:v>
                </c:pt>
                <c:pt idx="1">
                  <c:v>550</c:v>
                </c:pt>
                <c:pt idx="2">
                  <c:v>650</c:v>
                </c:pt>
                <c:pt idx="3">
                  <c:v>750</c:v>
                </c:pt>
                <c:pt idx="4">
                  <c:v>850</c:v>
                </c:pt>
                <c:pt idx="5">
                  <c:v>950</c:v>
                </c:pt>
              </c:numCache>
            </c:numRef>
          </c:xVal>
          <c:yVal>
            <c:numRef>
              <c:f>ZRübe!$G$70:$G$75</c:f>
              <c:numCache>
                <c:formatCode>General</c:formatCode>
                <c:ptCount val="6"/>
                <c:pt idx="0">
                  <c:v>149.85</c:v>
                </c:pt>
                <c:pt idx="1">
                  <c:v>162</c:v>
                </c:pt>
                <c:pt idx="2">
                  <c:v>172.35</c:v>
                </c:pt>
                <c:pt idx="3">
                  <c:v>180.9</c:v>
                </c:pt>
                <c:pt idx="4">
                  <c:v>187.65</c:v>
                </c:pt>
                <c:pt idx="5">
                  <c:v>192.6</c:v>
                </c:pt>
              </c:numCache>
            </c:numRef>
          </c:yVal>
          <c:smooth val="0"/>
          <c:extLst>
            <c:ext xmlns:c16="http://schemas.microsoft.com/office/drawing/2014/chart" uri="{C3380CC4-5D6E-409C-BE32-E72D297353CC}">
              <c16:uniqueId val="{00000001-7035-4D98-AA8D-DCD183ACF627}"/>
            </c:ext>
          </c:extLst>
        </c:ser>
        <c:dLbls>
          <c:showLegendKey val="0"/>
          <c:showVal val="0"/>
          <c:showCatName val="0"/>
          <c:showSerName val="0"/>
          <c:showPercent val="0"/>
          <c:showBubbleSize val="0"/>
        </c:dLbls>
        <c:axId val="211004120"/>
        <c:axId val="211004512"/>
      </c:scatterChart>
      <c:valAx>
        <c:axId val="211004120"/>
        <c:scaling>
          <c:orientation val="minMax"/>
        </c:scaling>
        <c:delete val="0"/>
        <c:axPos val="b"/>
        <c:numFmt formatCode="General" sourceLinked="1"/>
        <c:majorTickMark val="out"/>
        <c:minorTickMark val="none"/>
        <c:tickLblPos val="nextTo"/>
        <c:crossAx val="211004512"/>
        <c:crosses val="autoZero"/>
        <c:crossBetween val="midCat"/>
      </c:valAx>
      <c:valAx>
        <c:axId val="211004512"/>
        <c:scaling>
          <c:orientation val="minMax"/>
          <c:min val="100"/>
        </c:scaling>
        <c:delete val="0"/>
        <c:axPos val="l"/>
        <c:majorGridlines/>
        <c:numFmt formatCode="General" sourceLinked="1"/>
        <c:majorTickMark val="out"/>
        <c:minorTickMark val="none"/>
        <c:tickLblPos val="nextTo"/>
        <c:crossAx val="211004120"/>
        <c:crosses val="autoZero"/>
        <c:crossBetween val="midCat"/>
      </c:valAx>
    </c:plotArea>
    <c:legend>
      <c:legendPos val="r"/>
      <c:legendEntry>
        <c:idx val="2"/>
        <c:delete val="1"/>
      </c:legendEntry>
      <c:legendEntry>
        <c:idx val="3"/>
        <c:delete val="1"/>
      </c:legendEntry>
      <c:overlay val="0"/>
    </c:legend>
    <c:plotVisOnly val="1"/>
    <c:dispBlanksAs val="gap"/>
    <c:showDLblsOverMax val="0"/>
  </c:chart>
  <c:printSettings>
    <c:headerFooter/>
    <c:pageMargins b="0.78740157499999996" l="0.7" r="0.7" t="0.78740157499999996"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890419324288359E-2"/>
          <c:y val="0.12165328438943933"/>
          <c:w val="0.7547949141645186"/>
          <c:h val="0.79494296647683882"/>
        </c:manualLayout>
      </c:layout>
      <c:scatterChart>
        <c:scatterStyle val="lineMarker"/>
        <c:varyColors val="0"/>
        <c:ser>
          <c:idx val="0"/>
          <c:order val="0"/>
          <c:tx>
            <c:strRef>
              <c:f>Raps!$C$79</c:f>
              <c:strCache>
                <c:ptCount val="1"/>
                <c:pt idx="0">
                  <c:v>N-Sollwert</c:v>
                </c:pt>
              </c:strCache>
            </c:strRef>
          </c:tx>
          <c:spPr>
            <a:ln w="28575">
              <a:noFill/>
            </a:ln>
          </c:spPr>
          <c:trendline>
            <c:trendlineType val="poly"/>
            <c:order val="2"/>
            <c:dispRSqr val="0"/>
            <c:dispEq val="1"/>
            <c:trendlineLbl>
              <c:layout>
                <c:manualLayout>
                  <c:x val="-7.4297891631493487E-2"/>
                  <c:y val="-5.1985651521019464E-2"/>
                </c:manualLayout>
              </c:layout>
              <c:numFmt formatCode="#,##0.0000" sourceLinked="0"/>
              <c:txPr>
                <a:bodyPr/>
                <a:lstStyle/>
                <a:p>
                  <a:pPr>
                    <a:defRPr b="1">
                      <a:solidFill>
                        <a:srgbClr val="0070C0"/>
                      </a:solidFill>
                    </a:defRPr>
                  </a:pPr>
                  <a:endParaRPr lang="de-DE"/>
                </a:p>
              </c:txPr>
            </c:trendlineLbl>
          </c:trendline>
          <c:xVal>
            <c:numRef>
              <c:f>Raps!$B$80:$B$89</c:f>
              <c:numCache>
                <c:formatCode>General</c:formatCode>
                <c:ptCount val="10"/>
                <c:pt idx="1">
                  <c:v>25</c:v>
                </c:pt>
                <c:pt idx="3">
                  <c:v>35</c:v>
                </c:pt>
                <c:pt idx="5">
                  <c:v>45</c:v>
                </c:pt>
                <c:pt idx="7">
                  <c:v>55</c:v>
                </c:pt>
                <c:pt idx="9">
                  <c:v>65</c:v>
                </c:pt>
              </c:numCache>
            </c:numRef>
          </c:xVal>
          <c:yVal>
            <c:numRef>
              <c:f>Raps!$C$80:$C$89</c:f>
              <c:numCache>
                <c:formatCode>General</c:formatCode>
                <c:ptCount val="10"/>
                <c:pt idx="1">
                  <c:v>153</c:v>
                </c:pt>
                <c:pt idx="3">
                  <c:v>185</c:v>
                </c:pt>
                <c:pt idx="5">
                  <c:v>214</c:v>
                </c:pt>
                <c:pt idx="7">
                  <c:v>234</c:v>
                </c:pt>
                <c:pt idx="9">
                  <c:v>247</c:v>
                </c:pt>
              </c:numCache>
            </c:numRef>
          </c:yVal>
          <c:smooth val="0"/>
          <c:extLst>
            <c:ext xmlns:c16="http://schemas.microsoft.com/office/drawing/2014/chart" uri="{C3380CC4-5D6E-409C-BE32-E72D297353CC}">
              <c16:uniqueId val="{00000000-D3EC-4F18-A35B-23569F44A284}"/>
            </c:ext>
          </c:extLst>
        </c:ser>
        <c:ser>
          <c:idx val="1"/>
          <c:order val="1"/>
          <c:tx>
            <c:strRef>
              <c:f>Raps!$D$79</c:f>
              <c:strCache>
                <c:ptCount val="1"/>
                <c:pt idx="0">
                  <c:v>N-Bed DüV</c:v>
                </c:pt>
              </c:strCache>
            </c:strRef>
          </c:tx>
          <c:spPr>
            <a:ln w="28575">
              <a:noFill/>
            </a:ln>
          </c:spPr>
          <c:xVal>
            <c:numRef>
              <c:f>Raps!$B$80:$B$89</c:f>
              <c:numCache>
                <c:formatCode>General</c:formatCode>
                <c:ptCount val="10"/>
                <c:pt idx="1">
                  <c:v>25</c:v>
                </c:pt>
                <c:pt idx="3">
                  <c:v>35</c:v>
                </c:pt>
                <c:pt idx="5">
                  <c:v>45</c:v>
                </c:pt>
                <c:pt idx="7">
                  <c:v>55</c:v>
                </c:pt>
                <c:pt idx="9">
                  <c:v>65</c:v>
                </c:pt>
              </c:numCache>
            </c:numRef>
          </c:xVal>
          <c:yVal>
            <c:numRef>
              <c:f>Raps!$D$80:$D$89</c:f>
              <c:numCache>
                <c:formatCode>General</c:formatCode>
                <c:ptCount val="10"/>
                <c:pt idx="1">
                  <c:v>155</c:v>
                </c:pt>
                <c:pt idx="3">
                  <c:v>185</c:v>
                </c:pt>
                <c:pt idx="5">
                  <c:v>210</c:v>
                </c:pt>
                <c:pt idx="7">
                  <c:v>230</c:v>
                </c:pt>
                <c:pt idx="9">
                  <c:v>250</c:v>
                </c:pt>
              </c:numCache>
            </c:numRef>
          </c:yVal>
          <c:smooth val="0"/>
          <c:extLst>
            <c:ext xmlns:c16="http://schemas.microsoft.com/office/drawing/2014/chart" uri="{C3380CC4-5D6E-409C-BE32-E72D297353CC}">
              <c16:uniqueId val="{00000001-D3EC-4F18-A35B-23569F44A284}"/>
            </c:ext>
          </c:extLst>
        </c:ser>
        <c:dLbls>
          <c:showLegendKey val="0"/>
          <c:showVal val="0"/>
          <c:showCatName val="0"/>
          <c:showSerName val="0"/>
          <c:showPercent val="0"/>
          <c:showBubbleSize val="0"/>
        </c:dLbls>
        <c:axId val="211005296"/>
        <c:axId val="211005688"/>
      </c:scatterChart>
      <c:valAx>
        <c:axId val="211005296"/>
        <c:scaling>
          <c:orientation val="minMax"/>
        </c:scaling>
        <c:delete val="0"/>
        <c:axPos val="b"/>
        <c:numFmt formatCode="General" sourceLinked="1"/>
        <c:majorTickMark val="out"/>
        <c:minorTickMark val="none"/>
        <c:tickLblPos val="nextTo"/>
        <c:crossAx val="211005688"/>
        <c:crosses val="autoZero"/>
        <c:crossBetween val="midCat"/>
      </c:valAx>
      <c:valAx>
        <c:axId val="211005688"/>
        <c:scaling>
          <c:orientation val="minMax"/>
          <c:max val="275"/>
          <c:min val="100"/>
        </c:scaling>
        <c:delete val="0"/>
        <c:axPos val="l"/>
        <c:majorGridlines/>
        <c:numFmt formatCode="General" sourceLinked="1"/>
        <c:majorTickMark val="out"/>
        <c:minorTickMark val="none"/>
        <c:tickLblPos val="nextTo"/>
        <c:crossAx val="211005296"/>
        <c:crosses val="autoZero"/>
        <c:crossBetween val="midCat"/>
        <c:majorUnit val="25"/>
      </c:valAx>
    </c:plotArea>
    <c:legend>
      <c:legendPos val="r"/>
      <c:legendEntry>
        <c:idx val="2"/>
        <c:delete val="1"/>
      </c:legendEntry>
      <c:overlay val="0"/>
    </c:legend>
    <c:plotVisOnly val="1"/>
    <c:dispBlanksAs val="gap"/>
    <c:showDLblsOverMax val="0"/>
  </c:chart>
  <c:printSettings>
    <c:headerFooter/>
    <c:pageMargins b="0.78740157499999996" l="0.7" r="0.7" t="0.78740157499999996"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US" sz="1200"/>
              <a:t>ertragsabhängige N-Sollwerte</a:t>
            </a:r>
          </a:p>
        </c:rich>
      </c:tx>
      <c:layout>
        <c:manualLayout>
          <c:xMode val="edge"/>
          <c:yMode val="edge"/>
          <c:x val="2.232631860861739E-2"/>
          <c:y val="2.2145330328698313E-2"/>
        </c:manualLayout>
      </c:layout>
      <c:overlay val="0"/>
    </c:title>
    <c:autoTitleDeleted val="0"/>
    <c:plotArea>
      <c:layout>
        <c:manualLayout>
          <c:layoutTarget val="inner"/>
          <c:xMode val="edge"/>
          <c:yMode val="edge"/>
          <c:x val="7.8358361268444893E-2"/>
          <c:y val="0.12826767136329792"/>
          <c:w val="0.83097078785477263"/>
          <c:h val="0.77926947147059522"/>
        </c:manualLayout>
      </c:layout>
      <c:scatterChart>
        <c:scatterStyle val="lineMarker"/>
        <c:varyColors val="0"/>
        <c:ser>
          <c:idx val="1"/>
          <c:order val="0"/>
          <c:tx>
            <c:strRef>
              <c:f>'S-Mais'!$C$71</c:f>
              <c:strCache>
                <c:ptCount val="1"/>
                <c:pt idx="0">
                  <c:v>dt TM*%RP/6,25*1,x+5</c:v>
                </c:pt>
              </c:strCache>
            </c:strRef>
          </c:tx>
          <c:spPr>
            <a:ln w="28575">
              <a:noFill/>
            </a:ln>
          </c:spPr>
          <c:trendline>
            <c:trendlineType val="poly"/>
            <c:order val="2"/>
            <c:dispRSqr val="0"/>
            <c:dispEq val="1"/>
            <c:trendlineLbl>
              <c:layout>
                <c:manualLayout>
                  <c:x val="0.16165310221557058"/>
                  <c:y val="-7.6077377619210643E-2"/>
                </c:manualLayout>
              </c:layout>
              <c:numFmt formatCode="#,##0.00000" sourceLinked="0"/>
              <c:txPr>
                <a:bodyPr/>
                <a:lstStyle/>
                <a:p>
                  <a:pPr>
                    <a:defRPr sz="1200"/>
                  </a:pPr>
                  <a:endParaRPr lang="de-DE"/>
                </a:p>
              </c:txPr>
            </c:trendlineLbl>
          </c:trendline>
          <c:xVal>
            <c:numRef>
              <c:f>'S-Mais'!$B$72:$B$80</c:f>
              <c:numCache>
                <c:formatCode>General</c:formatCode>
                <c:ptCount val="9"/>
                <c:pt idx="0">
                  <c:v>80</c:v>
                </c:pt>
                <c:pt idx="1">
                  <c:v>100</c:v>
                </c:pt>
                <c:pt idx="2">
                  <c:v>120</c:v>
                </c:pt>
                <c:pt idx="3">
                  <c:v>140</c:v>
                </c:pt>
                <c:pt idx="4">
                  <c:v>160</c:v>
                </c:pt>
                <c:pt idx="5">
                  <c:v>180</c:v>
                </c:pt>
                <c:pt idx="6">
                  <c:v>200</c:v>
                </c:pt>
                <c:pt idx="7">
                  <c:v>220</c:v>
                </c:pt>
                <c:pt idx="8">
                  <c:v>240</c:v>
                </c:pt>
              </c:numCache>
            </c:numRef>
          </c:xVal>
          <c:yVal>
            <c:numRef>
              <c:f>'S-Mais'!$C$72:$C$80</c:f>
              <c:numCache>
                <c:formatCode>0</c:formatCode>
                <c:ptCount val="9"/>
                <c:pt idx="0">
                  <c:v>134.024</c:v>
                </c:pt>
                <c:pt idx="1">
                  <c:v>158.22</c:v>
                </c:pt>
                <c:pt idx="2">
                  <c:v>179.43199999999999</c:v>
                </c:pt>
                <c:pt idx="3">
                  <c:v>197.78000000000003</c:v>
                </c:pt>
                <c:pt idx="4">
                  <c:v>213.38400000000001</c:v>
                </c:pt>
                <c:pt idx="5">
                  <c:v>226.36399999999998</c:v>
                </c:pt>
                <c:pt idx="6">
                  <c:v>236.84000000000003</c:v>
                </c:pt>
                <c:pt idx="7">
                  <c:v>244.93199999999999</c:v>
                </c:pt>
                <c:pt idx="8">
                  <c:v>250.76</c:v>
                </c:pt>
              </c:numCache>
            </c:numRef>
          </c:yVal>
          <c:smooth val="0"/>
          <c:extLst>
            <c:ext xmlns:c16="http://schemas.microsoft.com/office/drawing/2014/chart" uri="{C3380CC4-5D6E-409C-BE32-E72D297353CC}">
              <c16:uniqueId val="{00000000-ED34-4F63-A75A-1A67799C594B}"/>
            </c:ext>
          </c:extLst>
        </c:ser>
        <c:ser>
          <c:idx val="0"/>
          <c:order val="1"/>
          <c:tx>
            <c:strRef>
              <c:f>'S-Mais'!$D$71</c:f>
              <c:strCache>
                <c:ptCount val="1"/>
                <c:pt idx="0">
                  <c:v>DüV mit Annahme: 32 % TM</c:v>
                </c:pt>
              </c:strCache>
            </c:strRef>
          </c:tx>
          <c:spPr>
            <a:ln w="28575">
              <a:noFill/>
            </a:ln>
          </c:spPr>
          <c:xVal>
            <c:numRef>
              <c:f>'S-Mais'!$B$72:$B$80</c:f>
              <c:numCache>
                <c:formatCode>General</c:formatCode>
                <c:ptCount val="9"/>
                <c:pt idx="0">
                  <c:v>80</c:v>
                </c:pt>
                <c:pt idx="1">
                  <c:v>100</c:v>
                </c:pt>
                <c:pt idx="2">
                  <c:v>120</c:v>
                </c:pt>
                <c:pt idx="3">
                  <c:v>140</c:v>
                </c:pt>
                <c:pt idx="4">
                  <c:v>160</c:v>
                </c:pt>
                <c:pt idx="5">
                  <c:v>180</c:v>
                </c:pt>
                <c:pt idx="6">
                  <c:v>200</c:v>
                </c:pt>
                <c:pt idx="7">
                  <c:v>220</c:v>
                </c:pt>
                <c:pt idx="8">
                  <c:v>240</c:v>
                </c:pt>
              </c:numCache>
            </c:numRef>
          </c:xVal>
          <c:yVal>
            <c:numRef>
              <c:f>'S-Mais'!$D$72:$D$80</c:f>
              <c:numCache>
                <c:formatCode>General</c:formatCode>
                <c:ptCount val="9"/>
                <c:pt idx="2">
                  <c:v>177</c:v>
                </c:pt>
                <c:pt idx="4">
                  <c:v>210</c:v>
                </c:pt>
                <c:pt idx="6">
                  <c:v>235</c:v>
                </c:pt>
              </c:numCache>
            </c:numRef>
          </c:yVal>
          <c:smooth val="0"/>
          <c:extLst>
            <c:ext xmlns:c16="http://schemas.microsoft.com/office/drawing/2014/chart" uri="{C3380CC4-5D6E-409C-BE32-E72D297353CC}">
              <c16:uniqueId val="{00000001-ED34-4F63-A75A-1A67799C594B}"/>
            </c:ext>
          </c:extLst>
        </c:ser>
        <c:ser>
          <c:idx val="2"/>
          <c:order val="2"/>
          <c:tx>
            <c:strRef>
              <c:f>'S-Mais'!$E$67</c:f>
              <c:strCache>
                <c:ptCount val="1"/>
                <c:pt idx="0">
                  <c:v>DüV mit Annahme: 28 % TM</c:v>
                </c:pt>
              </c:strCache>
            </c:strRef>
          </c:tx>
          <c:spPr>
            <a:ln w="28575">
              <a:noFill/>
            </a:ln>
          </c:spPr>
          <c:xVal>
            <c:numRef>
              <c:f>'S-Mais'!$B$72:$B$80</c:f>
              <c:numCache>
                <c:formatCode>General</c:formatCode>
                <c:ptCount val="9"/>
                <c:pt idx="0">
                  <c:v>80</c:v>
                </c:pt>
                <c:pt idx="1">
                  <c:v>100</c:v>
                </c:pt>
                <c:pt idx="2">
                  <c:v>120</c:v>
                </c:pt>
                <c:pt idx="3">
                  <c:v>140</c:v>
                </c:pt>
                <c:pt idx="4">
                  <c:v>160</c:v>
                </c:pt>
                <c:pt idx="5">
                  <c:v>180</c:v>
                </c:pt>
                <c:pt idx="6">
                  <c:v>200</c:v>
                </c:pt>
                <c:pt idx="7">
                  <c:v>220</c:v>
                </c:pt>
                <c:pt idx="8">
                  <c:v>240</c:v>
                </c:pt>
              </c:numCache>
            </c:numRef>
          </c:xVal>
          <c:yVal>
            <c:numRef>
              <c:f>'S-Mais'!$E$68:$E$76</c:f>
              <c:numCache>
                <c:formatCode>General</c:formatCode>
                <c:ptCount val="9"/>
                <c:pt idx="2">
                  <c:v>194</c:v>
                </c:pt>
                <c:pt idx="4">
                  <c:v>224</c:v>
                </c:pt>
                <c:pt idx="6">
                  <c:v>253</c:v>
                </c:pt>
              </c:numCache>
            </c:numRef>
          </c:yVal>
          <c:smooth val="0"/>
          <c:extLst>
            <c:ext xmlns:c16="http://schemas.microsoft.com/office/drawing/2014/chart" uri="{C3380CC4-5D6E-409C-BE32-E72D297353CC}">
              <c16:uniqueId val="{00000002-ED34-4F63-A75A-1A67799C594B}"/>
            </c:ext>
          </c:extLst>
        </c:ser>
        <c:dLbls>
          <c:showLegendKey val="0"/>
          <c:showVal val="0"/>
          <c:showCatName val="0"/>
          <c:showSerName val="0"/>
          <c:showPercent val="0"/>
          <c:showBubbleSize val="0"/>
        </c:dLbls>
        <c:axId val="211007256"/>
        <c:axId val="211007648"/>
      </c:scatterChart>
      <c:valAx>
        <c:axId val="211007256"/>
        <c:scaling>
          <c:orientation val="minMax"/>
        </c:scaling>
        <c:delete val="0"/>
        <c:axPos val="b"/>
        <c:numFmt formatCode="General" sourceLinked="1"/>
        <c:majorTickMark val="out"/>
        <c:minorTickMark val="none"/>
        <c:tickLblPos val="nextTo"/>
        <c:crossAx val="211007648"/>
        <c:crosses val="autoZero"/>
        <c:crossBetween val="midCat"/>
      </c:valAx>
      <c:valAx>
        <c:axId val="211007648"/>
        <c:scaling>
          <c:orientation val="minMax"/>
          <c:min val="100"/>
        </c:scaling>
        <c:delete val="0"/>
        <c:axPos val="l"/>
        <c:majorGridlines/>
        <c:numFmt formatCode="0" sourceLinked="1"/>
        <c:majorTickMark val="out"/>
        <c:minorTickMark val="none"/>
        <c:tickLblPos val="nextTo"/>
        <c:crossAx val="211007256"/>
        <c:crosses val="autoZero"/>
        <c:crossBetween val="midCat"/>
      </c:valAx>
    </c:plotArea>
    <c:legend>
      <c:legendPos val="r"/>
      <c:legendEntry>
        <c:idx val="3"/>
        <c:delete val="1"/>
      </c:legendEntry>
      <c:layout>
        <c:manualLayout>
          <c:xMode val="edge"/>
          <c:yMode val="edge"/>
          <c:x val="0.65124452551935408"/>
          <c:y val="0.55456440832734166"/>
          <c:w val="0.31133858267716541"/>
          <c:h val="0.27773470126763128"/>
        </c:manualLayout>
      </c:layout>
      <c:overlay val="0"/>
      <c:spPr>
        <a:solidFill>
          <a:schemeClr val="bg1"/>
        </a:solidFill>
      </c:spPr>
    </c:legend>
    <c:plotVisOnly val="1"/>
    <c:dispBlanksAs val="gap"/>
    <c:showDLblsOverMax val="0"/>
  </c:chart>
  <c:printSettings>
    <c:headerFooter/>
    <c:pageMargins b="0.78740157499999996" l="0.7" r="0.7" t="0.78740157499999996"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748030137313065E-2"/>
          <c:y val="7.4548702245552628E-2"/>
          <c:w val="0.80122202845449686"/>
          <c:h val="0.8326195683872849"/>
        </c:manualLayout>
      </c:layout>
      <c:scatterChart>
        <c:scatterStyle val="lineMarker"/>
        <c:varyColors val="0"/>
        <c:ser>
          <c:idx val="0"/>
          <c:order val="0"/>
          <c:tx>
            <c:strRef>
              <c:f>Kart!$B$68</c:f>
              <c:strCache>
                <c:ptCount val="1"/>
                <c:pt idx="0">
                  <c:v>DüV-N-Obergr. Kart.</c:v>
                </c:pt>
              </c:strCache>
            </c:strRef>
          </c:tx>
          <c:spPr>
            <a:ln w="28575">
              <a:noFill/>
            </a:ln>
          </c:spPr>
          <c:xVal>
            <c:numRef>
              <c:f>Kart!$A$69:$A$75</c:f>
              <c:numCache>
                <c:formatCode>General</c:formatCode>
                <c:ptCount val="7"/>
                <c:pt idx="1">
                  <c:v>250</c:v>
                </c:pt>
                <c:pt idx="2">
                  <c:v>350</c:v>
                </c:pt>
                <c:pt idx="3">
                  <c:v>450</c:v>
                </c:pt>
                <c:pt idx="4">
                  <c:v>550</c:v>
                </c:pt>
                <c:pt idx="5">
                  <c:v>650</c:v>
                </c:pt>
                <c:pt idx="6">
                  <c:v>750</c:v>
                </c:pt>
              </c:numCache>
            </c:numRef>
          </c:xVal>
          <c:yVal>
            <c:numRef>
              <c:f>Kart!$B$69:$B$75</c:f>
              <c:numCache>
                <c:formatCode>General</c:formatCode>
                <c:ptCount val="7"/>
                <c:pt idx="1">
                  <c:v>140</c:v>
                </c:pt>
                <c:pt idx="2">
                  <c:v>160</c:v>
                </c:pt>
                <c:pt idx="3">
                  <c:v>180</c:v>
                </c:pt>
                <c:pt idx="4">
                  <c:v>200</c:v>
                </c:pt>
                <c:pt idx="5">
                  <c:v>220</c:v>
                </c:pt>
                <c:pt idx="6">
                  <c:v>240</c:v>
                </c:pt>
              </c:numCache>
            </c:numRef>
          </c:yVal>
          <c:smooth val="0"/>
          <c:extLst>
            <c:ext xmlns:c16="http://schemas.microsoft.com/office/drawing/2014/chart" uri="{C3380CC4-5D6E-409C-BE32-E72D297353CC}">
              <c16:uniqueId val="{00000000-D694-48B0-BDC2-DB03909894DD}"/>
            </c:ext>
          </c:extLst>
        </c:ser>
        <c:ser>
          <c:idx val="1"/>
          <c:order val="1"/>
          <c:tx>
            <c:strRef>
              <c:f>Kart!$C$68</c:f>
              <c:strCache>
                <c:ptCount val="1"/>
                <c:pt idx="0">
                  <c:v>Aufn. kg N/ha</c:v>
                </c:pt>
              </c:strCache>
            </c:strRef>
          </c:tx>
          <c:spPr>
            <a:ln w="28575">
              <a:noFill/>
            </a:ln>
          </c:spPr>
          <c:trendline>
            <c:trendlineType val="poly"/>
            <c:order val="2"/>
            <c:dispRSqr val="0"/>
            <c:dispEq val="0"/>
          </c:trendline>
          <c:trendline>
            <c:trendlineType val="poly"/>
            <c:order val="2"/>
            <c:dispRSqr val="0"/>
            <c:dispEq val="1"/>
            <c:trendlineLbl>
              <c:layout>
                <c:manualLayout>
                  <c:x val="-0.12967578389210496"/>
                  <c:y val="0.33664726389538596"/>
                </c:manualLayout>
              </c:layout>
              <c:numFmt formatCode="#,##0.000000" sourceLinked="0"/>
            </c:trendlineLbl>
          </c:trendline>
          <c:xVal>
            <c:numRef>
              <c:f>Kart!$A$69:$A$75</c:f>
              <c:numCache>
                <c:formatCode>General</c:formatCode>
                <c:ptCount val="7"/>
                <c:pt idx="1">
                  <c:v>250</c:v>
                </c:pt>
                <c:pt idx="2">
                  <c:v>350</c:v>
                </c:pt>
                <c:pt idx="3">
                  <c:v>450</c:v>
                </c:pt>
                <c:pt idx="4">
                  <c:v>550</c:v>
                </c:pt>
                <c:pt idx="5">
                  <c:v>650</c:v>
                </c:pt>
                <c:pt idx="6">
                  <c:v>750</c:v>
                </c:pt>
              </c:numCache>
            </c:numRef>
          </c:xVal>
          <c:yVal>
            <c:numRef>
              <c:f>Kart!$C$69:$C$75</c:f>
              <c:numCache>
                <c:formatCode>General</c:formatCode>
                <c:ptCount val="7"/>
                <c:pt idx="1">
                  <c:v>132.5</c:v>
                </c:pt>
                <c:pt idx="2">
                  <c:v>159.25</c:v>
                </c:pt>
                <c:pt idx="3">
                  <c:v>181.25</c:v>
                </c:pt>
                <c:pt idx="4">
                  <c:v>200</c:v>
                </c:pt>
                <c:pt idx="5">
                  <c:v>217.00000000000003</c:v>
                </c:pt>
                <c:pt idx="6">
                  <c:v>233.75</c:v>
                </c:pt>
              </c:numCache>
            </c:numRef>
          </c:yVal>
          <c:smooth val="0"/>
          <c:extLst>
            <c:ext xmlns:c16="http://schemas.microsoft.com/office/drawing/2014/chart" uri="{C3380CC4-5D6E-409C-BE32-E72D297353CC}">
              <c16:uniqueId val="{00000001-D694-48B0-BDC2-DB03909894DD}"/>
            </c:ext>
          </c:extLst>
        </c:ser>
        <c:ser>
          <c:idx val="2"/>
          <c:order val="2"/>
          <c:tx>
            <c:strRef>
              <c:f>Kart!$D$68</c:f>
              <c:strCache>
                <c:ptCount val="1"/>
              </c:strCache>
            </c:strRef>
          </c:tx>
          <c:spPr>
            <a:ln w="28575">
              <a:noFill/>
            </a:ln>
          </c:spPr>
          <c:xVal>
            <c:numRef>
              <c:f>Kart!$A$69:$A$75</c:f>
              <c:numCache>
                <c:formatCode>General</c:formatCode>
                <c:ptCount val="7"/>
                <c:pt idx="1">
                  <c:v>250</c:v>
                </c:pt>
                <c:pt idx="2">
                  <c:v>350</c:v>
                </c:pt>
                <c:pt idx="3">
                  <c:v>450</c:v>
                </c:pt>
                <c:pt idx="4">
                  <c:v>550</c:v>
                </c:pt>
                <c:pt idx="5">
                  <c:v>650</c:v>
                </c:pt>
                <c:pt idx="6">
                  <c:v>750</c:v>
                </c:pt>
              </c:numCache>
            </c:numRef>
          </c:xVal>
          <c:yVal>
            <c:numRef>
              <c:f>Kart!$D$69:$D$75</c:f>
              <c:numCache>
                <c:formatCode>General</c:formatCode>
                <c:ptCount val="7"/>
              </c:numCache>
            </c:numRef>
          </c:yVal>
          <c:smooth val="0"/>
          <c:extLst>
            <c:ext xmlns:c16="http://schemas.microsoft.com/office/drawing/2014/chart" uri="{C3380CC4-5D6E-409C-BE32-E72D297353CC}">
              <c16:uniqueId val="{00000002-D694-48B0-BDC2-DB03909894DD}"/>
            </c:ext>
          </c:extLst>
        </c:ser>
        <c:ser>
          <c:idx val="3"/>
          <c:order val="3"/>
          <c:tx>
            <c:strRef>
              <c:f>Kart!$E$65</c:f>
              <c:strCache>
                <c:ptCount val="1"/>
              </c:strCache>
            </c:strRef>
          </c:tx>
          <c:spPr>
            <a:ln w="28575">
              <a:noFill/>
            </a:ln>
          </c:spPr>
          <c:trendline>
            <c:trendlineType val="poly"/>
            <c:order val="2"/>
            <c:dispRSqr val="0"/>
            <c:dispEq val="1"/>
            <c:trendlineLbl>
              <c:layout>
                <c:manualLayout>
                  <c:x val="-0.39023126730919427"/>
                  <c:y val="0.14210501537096154"/>
                </c:manualLayout>
              </c:layout>
              <c:numFmt formatCode="#,##0.000000" sourceLinked="0"/>
            </c:trendlineLbl>
          </c:trendline>
          <c:xVal>
            <c:numRef>
              <c:f>Kart!$A$69:$A$75</c:f>
              <c:numCache>
                <c:formatCode>General</c:formatCode>
                <c:ptCount val="7"/>
                <c:pt idx="1">
                  <c:v>250</c:v>
                </c:pt>
                <c:pt idx="2">
                  <c:v>350</c:v>
                </c:pt>
                <c:pt idx="3">
                  <c:v>450</c:v>
                </c:pt>
                <c:pt idx="4">
                  <c:v>550</c:v>
                </c:pt>
                <c:pt idx="5">
                  <c:v>650</c:v>
                </c:pt>
                <c:pt idx="6">
                  <c:v>750</c:v>
                </c:pt>
              </c:numCache>
            </c:numRef>
          </c:xVal>
          <c:yVal>
            <c:numRef>
              <c:f>Kart!$E$66:$E$72</c:f>
              <c:numCache>
                <c:formatCode>0</c:formatCode>
                <c:ptCount val="7"/>
              </c:numCache>
            </c:numRef>
          </c:yVal>
          <c:smooth val="0"/>
          <c:extLst>
            <c:ext xmlns:c16="http://schemas.microsoft.com/office/drawing/2014/chart" uri="{C3380CC4-5D6E-409C-BE32-E72D297353CC}">
              <c16:uniqueId val="{00000003-D694-48B0-BDC2-DB03909894DD}"/>
            </c:ext>
          </c:extLst>
        </c:ser>
        <c:dLbls>
          <c:showLegendKey val="0"/>
          <c:showVal val="0"/>
          <c:showCatName val="0"/>
          <c:showSerName val="0"/>
          <c:showPercent val="0"/>
          <c:showBubbleSize val="0"/>
        </c:dLbls>
        <c:axId val="212329232"/>
        <c:axId val="212329624"/>
      </c:scatterChart>
      <c:valAx>
        <c:axId val="212329232"/>
        <c:scaling>
          <c:orientation val="minMax"/>
        </c:scaling>
        <c:delete val="0"/>
        <c:axPos val="b"/>
        <c:numFmt formatCode="General" sourceLinked="1"/>
        <c:majorTickMark val="out"/>
        <c:minorTickMark val="none"/>
        <c:tickLblPos val="nextTo"/>
        <c:crossAx val="212329624"/>
        <c:crosses val="autoZero"/>
        <c:crossBetween val="midCat"/>
      </c:valAx>
      <c:valAx>
        <c:axId val="212329624"/>
        <c:scaling>
          <c:orientation val="minMax"/>
        </c:scaling>
        <c:delete val="0"/>
        <c:axPos val="l"/>
        <c:majorGridlines/>
        <c:numFmt formatCode="General" sourceLinked="1"/>
        <c:majorTickMark val="out"/>
        <c:minorTickMark val="none"/>
        <c:tickLblPos val="nextTo"/>
        <c:crossAx val="212329232"/>
        <c:crosses val="autoZero"/>
        <c:crossBetween val="midCat"/>
      </c:valAx>
    </c:plotArea>
    <c:legend>
      <c:legendPos val="r"/>
      <c:legendEntry>
        <c:idx val="0"/>
        <c:txPr>
          <a:bodyPr/>
          <a:lstStyle/>
          <a:p>
            <a:pPr>
              <a:defRPr b="1"/>
            </a:pPr>
            <a:endParaRPr lang="de-DE"/>
          </a:p>
        </c:txPr>
      </c:legendEntry>
      <c:legendEntry>
        <c:idx val="1"/>
        <c:txPr>
          <a:bodyPr/>
          <a:lstStyle/>
          <a:p>
            <a:pPr>
              <a:defRPr b="1"/>
            </a:pPr>
            <a:endParaRPr lang="de-DE"/>
          </a:p>
        </c:txPr>
      </c:legendEntry>
      <c:legendEntry>
        <c:idx val="2"/>
        <c:delete val="1"/>
      </c:legendEntry>
      <c:legendEntry>
        <c:idx val="3"/>
        <c:delete val="1"/>
      </c:legendEntry>
      <c:legendEntry>
        <c:idx val="4"/>
        <c:delete val="1"/>
      </c:legendEntry>
      <c:legendEntry>
        <c:idx val="5"/>
        <c:delete val="1"/>
      </c:legendEntry>
      <c:legendEntry>
        <c:idx val="6"/>
        <c:delete val="1"/>
      </c:legendEntry>
      <c:layout>
        <c:manualLayout>
          <c:xMode val="edge"/>
          <c:yMode val="edge"/>
          <c:x val="0.13549748732031872"/>
          <c:y val="3.1586683241328047E-3"/>
          <c:w val="0.40423541085655923"/>
          <c:h val="0.28551957589702343"/>
        </c:manualLayout>
      </c:layout>
      <c:overlay val="0"/>
    </c:legend>
    <c:plotVisOnly val="1"/>
    <c:dispBlanksAs val="gap"/>
    <c:showDLblsOverMax val="0"/>
  </c:chart>
  <c:printSettings>
    <c:headerFooter/>
    <c:pageMargins b="0.78740157499999996" l="0.7" r="0.7" t="0.78740157499999996"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v>kg N/ha Obergr. DüV</c:v>
          </c:tx>
          <c:spPr>
            <a:ln w="28575" cap="rnd">
              <a:noFill/>
              <a:round/>
            </a:ln>
            <a:effectLst/>
          </c:spPr>
          <c:marker>
            <c:symbol val="circle"/>
            <c:size val="5"/>
            <c:spPr>
              <a:solidFill>
                <a:schemeClr val="accent1"/>
              </a:solidFill>
              <a:ln w="9525">
                <a:solidFill>
                  <a:schemeClr val="accent1"/>
                </a:solidFill>
              </a:ln>
              <a:effectLst/>
            </c:spPr>
          </c:marker>
          <c:xVal>
            <c:numRef>
              <c:f>FrühKart!$A$69:$A$73</c:f>
              <c:numCache>
                <c:formatCode>General</c:formatCode>
                <c:ptCount val="5"/>
                <c:pt idx="0">
                  <c:v>150</c:v>
                </c:pt>
                <c:pt idx="1">
                  <c:v>250</c:v>
                </c:pt>
                <c:pt idx="2">
                  <c:v>350</c:v>
                </c:pt>
                <c:pt idx="3">
                  <c:v>450</c:v>
                </c:pt>
                <c:pt idx="4">
                  <c:v>550</c:v>
                </c:pt>
              </c:numCache>
            </c:numRef>
          </c:xVal>
          <c:yVal>
            <c:numRef>
              <c:f>FrühKart!$B$69:$B$73</c:f>
              <c:numCache>
                <c:formatCode>General</c:formatCode>
                <c:ptCount val="5"/>
                <c:pt idx="0">
                  <c:v>170</c:v>
                </c:pt>
                <c:pt idx="1">
                  <c:v>190</c:v>
                </c:pt>
                <c:pt idx="2">
                  <c:v>210</c:v>
                </c:pt>
                <c:pt idx="3">
                  <c:v>230</c:v>
                </c:pt>
                <c:pt idx="4">
                  <c:v>250</c:v>
                </c:pt>
              </c:numCache>
            </c:numRef>
          </c:yVal>
          <c:smooth val="0"/>
          <c:extLst>
            <c:ext xmlns:c16="http://schemas.microsoft.com/office/drawing/2014/chart" uri="{C3380CC4-5D6E-409C-BE32-E72D297353CC}">
              <c16:uniqueId val="{00000000-3039-46A2-BE62-A1B02CA50182}"/>
            </c:ext>
          </c:extLst>
        </c:ser>
        <c:ser>
          <c:idx val="1"/>
          <c:order val="1"/>
          <c:tx>
            <c:v>Kg N/ha Sollw.</c:v>
          </c:tx>
          <c:spPr>
            <a:ln w="28575"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poly"/>
            <c:order val="2"/>
            <c:dispRSqr val="0"/>
            <c:dispEq val="1"/>
            <c:trendlineLbl>
              <c:layout>
                <c:manualLayout>
                  <c:x val="-0.14784733158355207"/>
                  <c:y val="-4.6319626713327504E-2"/>
                </c:manualLayout>
              </c:layout>
              <c:numFmt formatCode="#,##0.000000"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trendlineLbl>
          </c:trendline>
          <c:xVal>
            <c:numRef>
              <c:f>FrühKart!$A$69:$A$73</c:f>
              <c:numCache>
                <c:formatCode>General</c:formatCode>
                <c:ptCount val="5"/>
                <c:pt idx="0">
                  <c:v>150</c:v>
                </c:pt>
                <c:pt idx="1">
                  <c:v>250</c:v>
                </c:pt>
                <c:pt idx="2">
                  <c:v>350</c:v>
                </c:pt>
                <c:pt idx="3">
                  <c:v>450</c:v>
                </c:pt>
                <c:pt idx="4">
                  <c:v>550</c:v>
                </c:pt>
              </c:numCache>
            </c:numRef>
          </c:xVal>
          <c:yVal>
            <c:numRef>
              <c:f>FrühKart!$C$69:$C$73</c:f>
              <c:numCache>
                <c:formatCode>0</c:formatCode>
                <c:ptCount val="5"/>
                <c:pt idx="0">
                  <c:v>161.75</c:v>
                </c:pt>
                <c:pt idx="1">
                  <c:v>191</c:v>
                </c:pt>
                <c:pt idx="2">
                  <c:v>212.75</c:v>
                </c:pt>
                <c:pt idx="3">
                  <c:v>230</c:v>
                </c:pt>
                <c:pt idx="4">
                  <c:v>245.75</c:v>
                </c:pt>
              </c:numCache>
            </c:numRef>
          </c:yVal>
          <c:smooth val="0"/>
          <c:extLst>
            <c:ext xmlns:c16="http://schemas.microsoft.com/office/drawing/2014/chart" uri="{C3380CC4-5D6E-409C-BE32-E72D297353CC}">
              <c16:uniqueId val="{00000001-3039-46A2-BE62-A1B02CA50182}"/>
            </c:ext>
          </c:extLst>
        </c:ser>
        <c:dLbls>
          <c:showLegendKey val="0"/>
          <c:showVal val="0"/>
          <c:showCatName val="0"/>
          <c:showSerName val="0"/>
          <c:showPercent val="0"/>
          <c:showBubbleSize val="0"/>
        </c:dLbls>
        <c:axId val="212330800"/>
        <c:axId val="212331192"/>
      </c:scatterChart>
      <c:valAx>
        <c:axId val="212330800"/>
        <c:scaling>
          <c:orientation val="minMax"/>
          <c:max val="550"/>
          <c:min val="10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12331192"/>
        <c:crosses val="autoZero"/>
        <c:crossBetween val="midCat"/>
      </c:valAx>
      <c:valAx>
        <c:axId val="2123311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12330800"/>
        <c:crosses val="autoZero"/>
        <c:crossBetween val="midCat"/>
      </c:valAx>
      <c:spPr>
        <a:noFill/>
        <a:ln>
          <a:noFill/>
        </a:ln>
        <a:effectLst/>
      </c:spPr>
    </c:plotArea>
    <c:legend>
      <c:legendPos val="b"/>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US" sz="1200"/>
              <a:t>kg N/ha in Abhängigkeit von der Ackerzahl</a:t>
            </a:r>
          </a:p>
        </c:rich>
      </c:tx>
      <c:layout>
        <c:manualLayout>
          <c:xMode val="edge"/>
          <c:yMode val="edge"/>
          <c:x val="2.3437445319335067E-2"/>
          <c:y val="2.7777777777777776E-2"/>
        </c:manualLayout>
      </c:layout>
      <c:overlay val="0"/>
    </c:title>
    <c:autoTitleDeleted val="0"/>
    <c:plotArea>
      <c:layout/>
      <c:scatterChart>
        <c:scatterStyle val="lineMarker"/>
        <c:varyColors val="0"/>
        <c:ser>
          <c:idx val="0"/>
          <c:order val="0"/>
          <c:tx>
            <c:strRef>
              <c:f>Funktionen!$C$5</c:f>
              <c:strCache>
                <c:ptCount val="1"/>
                <c:pt idx="0">
                  <c:v>kg N/ha</c:v>
                </c:pt>
              </c:strCache>
            </c:strRef>
          </c:tx>
          <c:spPr>
            <a:ln w="28575">
              <a:noFill/>
            </a:ln>
          </c:spPr>
          <c:trendline>
            <c:trendlineType val="poly"/>
            <c:order val="2"/>
            <c:dispRSqr val="1"/>
            <c:dispEq val="1"/>
            <c:trendlineLbl>
              <c:layout>
                <c:manualLayout>
                  <c:x val="0.20079068241469816"/>
                  <c:y val="-0.15163203557888597"/>
                </c:manualLayout>
              </c:layout>
              <c:numFmt formatCode="General" sourceLinked="0"/>
              <c:txPr>
                <a:bodyPr/>
                <a:lstStyle/>
                <a:p>
                  <a:pPr>
                    <a:defRPr sz="1400" b="1"/>
                  </a:pPr>
                  <a:endParaRPr lang="de-DE"/>
                </a:p>
              </c:txPr>
            </c:trendlineLbl>
          </c:trendline>
          <c:xVal>
            <c:numRef>
              <c:f>Funktionen!$B$6:$B$10</c:f>
              <c:numCache>
                <c:formatCode>General</c:formatCode>
                <c:ptCount val="5"/>
                <c:pt idx="0">
                  <c:v>20</c:v>
                </c:pt>
                <c:pt idx="1">
                  <c:v>40</c:v>
                </c:pt>
                <c:pt idx="2">
                  <c:v>60</c:v>
                </c:pt>
                <c:pt idx="3">
                  <c:v>80</c:v>
                </c:pt>
                <c:pt idx="4">
                  <c:v>100</c:v>
                </c:pt>
              </c:numCache>
            </c:numRef>
          </c:xVal>
          <c:yVal>
            <c:numRef>
              <c:f>Funktionen!$C$6:$C$10</c:f>
              <c:numCache>
                <c:formatCode>General</c:formatCode>
                <c:ptCount val="5"/>
                <c:pt idx="0">
                  <c:v>-12</c:v>
                </c:pt>
                <c:pt idx="1">
                  <c:v>0</c:v>
                </c:pt>
                <c:pt idx="2">
                  <c:v>10</c:v>
                </c:pt>
                <c:pt idx="3">
                  <c:v>18</c:v>
                </c:pt>
                <c:pt idx="4">
                  <c:v>24</c:v>
                </c:pt>
              </c:numCache>
            </c:numRef>
          </c:yVal>
          <c:smooth val="0"/>
          <c:extLst>
            <c:ext xmlns:c16="http://schemas.microsoft.com/office/drawing/2014/chart" uri="{C3380CC4-5D6E-409C-BE32-E72D297353CC}">
              <c16:uniqueId val="{00000000-F771-4987-B3C6-C4A9E0683147}"/>
            </c:ext>
          </c:extLst>
        </c:ser>
        <c:ser>
          <c:idx val="1"/>
          <c:order val="1"/>
          <c:tx>
            <c:strRef>
              <c:f>Funktionen!$D$5</c:f>
              <c:strCache>
                <c:ptCount val="1"/>
              </c:strCache>
            </c:strRef>
          </c:tx>
          <c:spPr>
            <a:ln w="28575">
              <a:noFill/>
            </a:ln>
          </c:spPr>
          <c:trendline>
            <c:trendlineType val="poly"/>
            <c:order val="2"/>
            <c:dispRSqr val="0"/>
            <c:dispEq val="1"/>
            <c:trendlineLbl>
              <c:layout>
                <c:manualLayout>
                  <c:x val="2.8097730721512917E-2"/>
                  <c:y val="0.18344012898233317"/>
                </c:manualLayout>
              </c:layout>
              <c:numFmt formatCode="General" sourceLinked="0"/>
            </c:trendlineLbl>
          </c:trendline>
          <c:xVal>
            <c:numRef>
              <c:f>Funktionen!$B$6:$B$10</c:f>
              <c:numCache>
                <c:formatCode>General</c:formatCode>
                <c:ptCount val="5"/>
                <c:pt idx="0">
                  <c:v>20</c:v>
                </c:pt>
                <c:pt idx="1">
                  <c:v>40</c:v>
                </c:pt>
                <c:pt idx="2">
                  <c:v>60</c:v>
                </c:pt>
                <c:pt idx="3">
                  <c:v>80</c:v>
                </c:pt>
                <c:pt idx="4">
                  <c:v>100</c:v>
                </c:pt>
              </c:numCache>
            </c:numRef>
          </c:xVal>
          <c:yVal>
            <c:numRef>
              <c:f>Funktionen!$D$6:$D$10</c:f>
              <c:numCache>
                <c:formatCode>General</c:formatCode>
                <c:ptCount val="5"/>
              </c:numCache>
            </c:numRef>
          </c:yVal>
          <c:smooth val="0"/>
          <c:extLst>
            <c:ext xmlns:c16="http://schemas.microsoft.com/office/drawing/2014/chart" uri="{C3380CC4-5D6E-409C-BE32-E72D297353CC}">
              <c16:uniqueId val="{00000001-F771-4987-B3C6-C4A9E0683147}"/>
            </c:ext>
          </c:extLst>
        </c:ser>
        <c:dLbls>
          <c:showLegendKey val="0"/>
          <c:showVal val="0"/>
          <c:showCatName val="0"/>
          <c:showSerName val="0"/>
          <c:showPercent val="0"/>
          <c:showBubbleSize val="0"/>
        </c:dLbls>
        <c:axId val="212331976"/>
        <c:axId val="212332368"/>
      </c:scatterChart>
      <c:valAx>
        <c:axId val="212331976"/>
        <c:scaling>
          <c:orientation val="minMax"/>
          <c:max val="100"/>
        </c:scaling>
        <c:delete val="0"/>
        <c:axPos val="b"/>
        <c:numFmt formatCode="General" sourceLinked="1"/>
        <c:majorTickMark val="out"/>
        <c:minorTickMark val="none"/>
        <c:tickLblPos val="nextTo"/>
        <c:crossAx val="212332368"/>
        <c:crosses val="autoZero"/>
        <c:crossBetween val="midCat"/>
      </c:valAx>
      <c:valAx>
        <c:axId val="212332368"/>
        <c:scaling>
          <c:orientation val="minMax"/>
        </c:scaling>
        <c:delete val="0"/>
        <c:axPos val="l"/>
        <c:majorGridlines/>
        <c:numFmt formatCode="General" sourceLinked="1"/>
        <c:majorTickMark val="out"/>
        <c:minorTickMark val="none"/>
        <c:tickLblPos val="nextTo"/>
        <c:crossAx val="212331976"/>
        <c:crosses val="autoZero"/>
        <c:crossBetween val="midCat"/>
      </c:valAx>
    </c:plotArea>
    <c:plotVisOnly val="1"/>
    <c:dispBlanksAs val="gap"/>
    <c:showDLblsOverMax val="0"/>
  </c:chart>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8.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8</xdr:col>
      <xdr:colOff>74970</xdr:colOff>
      <xdr:row>0</xdr:row>
      <xdr:rowOff>28575</xdr:rowOff>
    </xdr:from>
    <xdr:to>
      <xdr:col>10</xdr:col>
      <xdr:colOff>555513</xdr:colOff>
      <xdr:row>4</xdr:row>
      <xdr:rowOff>68867</xdr:rowOff>
    </xdr:to>
    <xdr:pic>
      <xdr:nvPicPr>
        <xdr:cNvPr id="4" name="Grafi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70970" y="28575"/>
          <a:ext cx="2242668" cy="85039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723901</xdr:colOff>
      <xdr:row>75</xdr:row>
      <xdr:rowOff>123824</xdr:rowOff>
    </xdr:from>
    <xdr:to>
      <xdr:col>6</xdr:col>
      <xdr:colOff>1190626</xdr:colOff>
      <xdr:row>91</xdr:row>
      <xdr:rowOff>171449</xdr:rowOff>
    </xdr:to>
    <xdr:graphicFrame macro="">
      <xdr:nvGraphicFramePr>
        <xdr:cNvPr id="2" name="Diagramm 1">
          <a:extLst>
            <a:ext uri="{FF2B5EF4-FFF2-40B4-BE49-F238E27FC236}">
              <a16:creationId xmlns:a16="http://schemas.microsoft.com/office/drawing/2014/main" id="{00000000-0008-0000-1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0.79833</cdr:x>
      <cdr:y>0.85069</cdr:y>
    </cdr:from>
    <cdr:to>
      <cdr:x>0.91333</cdr:x>
      <cdr:y>0.95486</cdr:y>
    </cdr:to>
    <cdr:sp macro="" textlink="">
      <cdr:nvSpPr>
        <cdr:cNvPr id="2" name="Textfeld 1"/>
        <cdr:cNvSpPr txBox="1"/>
      </cdr:nvSpPr>
      <cdr:spPr>
        <a:xfrm xmlns:a="http://schemas.openxmlformats.org/drawingml/2006/main">
          <a:off x="4562474" y="2333625"/>
          <a:ext cx="657225" cy="2857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1100"/>
            <a:t>dt/ha</a:t>
          </a:r>
        </a:p>
        <a:p xmlns:a="http://schemas.openxmlformats.org/drawingml/2006/main">
          <a:endParaRPr lang="de-DE" sz="1100"/>
        </a:p>
      </cdr:txBody>
    </cdr:sp>
  </cdr:relSizeAnchor>
  <cdr:relSizeAnchor xmlns:cdr="http://schemas.openxmlformats.org/drawingml/2006/chartDrawing">
    <cdr:from>
      <cdr:x>0.00889</cdr:x>
      <cdr:y>0.01852</cdr:y>
    </cdr:from>
    <cdr:to>
      <cdr:x>0.13333</cdr:x>
      <cdr:y>0.11806</cdr:y>
    </cdr:to>
    <cdr:sp macro="" textlink="">
      <cdr:nvSpPr>
        <cdr:cNvPr id="3" name="Textfeld 1"/>
        <cdr:cNvSpPr txBox="1"/>
      </cdr:nvSpPr>
      <cdr:spPr>
        <a:xfrm xmlns:a="http://schemas.openxmlformats.org/drawingml/2006/main">
          <a:off x="50801" y="50800"/>
          <a:ext cx="711200" cy="273050"/>
        </a:xfrm>
        <a:prstGeom xmlns:a="http://schemas.openxmlformats.org/drawingml/2006/main" prst="rect">
          <a:avLst/>
        </a:prstGeom>
        <a:solidFill xmlns:a="http://schemas.openxmlformats.org/drawingml/2006/main">
          <a:schemeClr val="bg1"/>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1100"/>
            <a:t>kg N/ha</a:t>
          </a:r>
        </a:p>
        <a:p xmlns:a="http://schemas.openxmlformats.org/drawingml/2006/main">
          <a:endParaRPr lang="de-DE" sz="1100"/>
        </a:p>
      </cdr:txBody>
    </cdr:sp>
  </cdr:relSizeAnchor>
</c:userShapes>
</file>

<file path=xl/drawings/drawing12.xml><?xml version="1.0" encoding="utf-8"?>
<xdr:wsDr xmlns:xdr="http://schemas.openxmlformats.org/drawingml/2006/spreadsheetDrawing" xmlns:a="http://schemas.openxmlformats.org/drawingml/2006/main">
  <xdr:twoCellAnchor>
    <xdr:from>
      <xdr:col>0</xdr:col>
      <xdr:colOff>2382308</xdr:colOff>
      <xdr:row>90</xdr:row>
      <xdr:rowOff>5292</xdr:rowOff>
    </xdr:from>
    <xdr:to>
      <xdr:col>4</xdr:col>
      <xdr:colOff>21167</xdr:colOff>
      <xdr:row>106</xdr:row>
      <xdr:rowOff>10584</xdr:rowOff>
    </xdr:to>
    <xdr:graphicFrame macro="">
      <xdr:nvGraphicFramePr>
        <xdr:cNvPr id="2" name="Diagramm 1">
          <a:extLst>
            <a:ext uri="{FF2B5EF4-FFF2-40B4-BE49-F238E27FC236}">
              <a16:creationId xmlns:a16="http://schemas.microsoft.com/office/drawing/2014/main" id="{00000000-0008-0000-1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0.88199</cdr:x>
      <cdr:y>0.91649</cdr:y>
    </cdr:from>
    <cdr:to>
      <cdr:x>0.98259</cdr:x>
      <cdr:y>0.9862</cdr:y>
    </cdr:to>
    <cdr:sp macro="" textlink="">
      <cdr:nvSpPr>
        <cdr:cNvPr id="2" name="Textfeld 1"/>
        <cdr:cNvSpPr txBox="1"/>
      </cdr:nvSpPr>
      <cdr:spPr>
        <a:xfrm xmlns:a="http://schemas.openxmlformats.org/drawingml/2006/main">
          <a:off x="4824942" y="3339042"/>
          <a:ext cx="550334" cy="2540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1100"/>
            <a:t>dt/ha</a:t>
          </a:r>
        </a:p>
        <a:p xmlns:a="http://schemas.openxmlformats.org/drawingml/2006/main">
          <a:endParaRPr lang="de-DE" sz="1100"/>
        </a:p>
      </cdr:txBody>
    </cdr:sp>
  </cdr:relSizeAnchor>
  <cdr:relSizeAnchor xmlns:cdr="http://schemas.openxmlformats.org/drawingml/2006/chartDrawing">
    <cdr:from>
      <cdr:x>0.00335</cdr:x>
      <cdr:y>0.00347</cdr:y>
    </cdr:from>
    <cdr:to>
      <cdr:x>0.13578</cdr:x>
      <cdr:y>0.10295</cdr:y>
    </cdr:to>
    <cdr:sp macro="" textlink="">
      <cdr:nvSpPr>
        <cdr:cNvPr id="4" name="Textfeld 1"/>
        <cdr:cNvSpPr txBox="1"/>
      </cdr:nvSpPr>
      <cdr:spPr>
        <a:xfrm xmlns:a="http://schemas.openxmlformats.org/drawingml/2006/main">
          <a:off x="19050" y="10584"/>
          <a:ext cx="752475" cy="30374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1100"/>
            <a:t>kg N/ha</a:t>
          </a:r>
        </a:p>
        <a:p xmlns:a="http://schemas.openxmlformats.org/drawingml/2006/main">
          <a:endParaRPr lang="de-DE" sz="1100"/>
        </a:p>
      </cdr:txBody>
    </cdr:sp>
  </cdr:relSizeAnchor>
</c:userShapes>
</file>

<file path=xl/drawings/drawing14.xml><?xml version="1.0" encoding="utf-8"?>
<xdr:wsDr xmlns:xdr="http://schemas.openxmlformats.org/drawingml/2006/spreadsheetDrawing" xmlns:a="http://schemas.openxmlformats.org/drawingml/2006/main">
  <xdr:twoCellAnchor>
    <xdr:from>
      <xdr:col>1</xdr:col>
      <xdr:colOff>1</xdr:colOff>
      <xdr:row>80</xdr:row>
      <xdr:rowOff>138112</xdr:rowOff>
    </xdr:from>
    <xdr:to>
      <xdr:col>4</xdr:col>
      <xdr:colOff>933451</xdr:colOff>
      <xdr:row>98</xdr:row>
      <xdr:rowOff>150018</xdr:rowOff>
    </xdr:to>
    <xdr:graphicFrame macro="">
      <xdr:nvGraphicFramePr>
        <xdr:cNvPr id="2" name="Diagramm 1">
          <a:extLst>
            <a:ext uri="{FF2B5EF4-FFF2-40B4-BE49-F238E27FC236}">
              <a16:creationId xmlns:a16="http://schemas.microsoft.com/office/drawing/2014/main" id="{00000000-0008-0000-1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0.80275</cdr:x>
      <cdr:y>0.90588</cdr:y>
    </cdr:from>
    <cdr:to>
      <cdr:x>1</cdr:x>
      <cdr:y>1</cdr:y>
    </cdr:to>
    <cdr:sp macro="" textlink="">
      <cdr:nvSpPr>
        <cdr:cNvPr id="2" name="Textfeld 1"/>
        <cdr:cNvSpPr txBox="1"/>
      </cdr:nvSpPr>
      <cdr:spPr>
        <a:xfrm xmlns:a="http://schemas.openxmlformats.org/drawingml/2006/main">
          <a:off x="4031455" y="3117056"/>
          <a:ext cx="990600" cy="323850"/>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r>
            <a:rPr lang="de-DE" sz="1100"/>
            <a:t>dt TM/ha</a:t>
          </a:r>
        </a:p>
        <a:p xmlns:a="http://schemas.openxmlformats.org/drawingml/2006/main">
          <a:endParaRPr lang="de-DE" sz="1100"/>
        </a:p>
      </cdr:txBody>
    </cdr:sp>
  </cdr:relSizeAnchor>
</c:userShapes>
</file>

<file path=xl/drawings/drawing16.xml><?xml version="1.0" encoding="utf-8"?>
<xdr:wsDr xmlns:xdr="http://schemas.openxmlformats.org/drawingml/2006/spreadsheetDrawing" xmlns:a="http://schemas.openxmlformats.org/drawingml/2006/main">
  <xdr:twoCellAnchor>
    <xdr:from>
      <xdr:col>1</xdr:col>
      <xdr:colOff>145595</xdr:colOff>
      <xdr:row>76</xdr:row>
      <xdr:rowOff>34016</xdr:rowOff>
    </xdr:from>
    <xdr:to>
      <xdr:col>3</xdr:col>
      <xdr:colOff>1047750</xdr:colOff>
      <xdr:row>91</xdr:row>
      <xdr:rowOff>171449</xdr:rowOff>
    </xdr:to>
    <xdr:graphicFrame macro="">
      <xdr:nvGraphicFramePr>
        <xdr:cNvPr id="2" name="Diagramm 1">
          <a:extLst>
            <a:ext uri="{FF2B5EF4-FFF2-40B4-BE49-F238E27FC236}">
              <a16:creationId xmlns:a16="http://schemas.microsoft.com/office/drawing/2014/main" id="{00000000-0008-0000-1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0.88555</cdr:x>
      <cdr:y>0.81746</cdr:y>
    </cdr:from>
    <cdr:to>
      <cdr:x>0.99631</cdr:x>
      <cdr:y>0.94593</cdr:y>
    </cdr:to>
    <cdr:sp macro="" textlink="">
      <cdr:nvSpPr>
        <cdr:cNvPr id="2" name="Textfeld 1"/>
        <cdr:cNvSpPr txBox="1"/>
      </cdr:nvSpPr>
      <cdr:spPr>
        <a:xfrm xmlns:a="http://schemas.openxmlformats.org/drawingml/2006/main">
          <a:off x="4569280" y="2448239"/>
          <a:ext cx="571500" cy="3847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1100"/>
            <a:t>dt/ha</a:t>
          </a:r>
        </a:p>
        <a:p xmlns:a="http://schemas.openxmlformats.org/drawingml/2006/main">
          <a:endParaRPr lang="de-DE" sz="1100"/>
        </a:p>
      </cdr:txBody>
    </cdr:sp>
  </cdr:relSizeAnchor>
  <cdr:relSizeAnchor xmlns:cdr="http://schemas.openxmlformats.org/drawingml/2006/chartDrawing">
    <cdr:from>
      <cdr:x>0.00985</cdr:x>
      <cdr:y>0.01696</cdr:y>
    </cdr:from>
    <cdr:to>
      <cdr:x>0.13792</cdr:x>
      <cdr:y>0.10314</cdr:y>
    </cdr:to>
    <cdr:sp macro="" textlink="">
      <cdr:nvSpPr>
        <cdr:cNvPr id="4" name="Textfeld 1"/>
        <cdr:cNvSpPr txBox="1"/>
      </cdr:nvSpPr>
      <cdr:spPr>
        <a:xfrm xmlns:a="http://schemas.openxmlformats.org/drawingml/2006/main">
          <a:off x="50799" y="50801"/>
          <a:ext cx="660856" cy="258084"/>
        </a:xfrm>
        <a:prstGeom xmlns:a="http://schemas.openxmlformats.org/drawingml/2006/main" prst="rect">
          <a:avLst/>
        </a:prstGeom>
        <a:solidFill xmlns:a="http://schemas.openxmlformats.org/drawingml/2006/main">
          <a:schemeClr val="bg1"/>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1100"/>
            <a:t>kg N/ha</a:t>
          </a:r>
        </a:p>
        <a:p xmlns:a="http://schemas.openxmlformats.org/drawingml/2006/main">
          <a:endParaRPr lang="de-DE" sz="1100"/>
        </a:p>
      </cdr:txBody>
    </cdr:sp>
  </cdr:relSizeAnchor>
</c:userShapes>
</file>

<file path=xl/drawings/drawing18.xml><?xml version="1.0" encoding="utf-8"?>
<xdr:wsDr xmlns:xdr="http://schemas.openxmlformats.org/drawingml/2006/spreadsheetDrawing" xmlns:a="http://schemas.openxmlformats.org/drawingml/2006/main">
  <xdr:twoCellAnchor>
    <xdr:from>
      <xdr:col>0</xdr:col>
      <xdr:colOff>1962150</xdr:colOff>
      <xdr:row>74</xdr:row>
      <xdr:rowOff>90486</xdr:rowOff>
    </xdr:from>
    <xdr:to>
      <xdr:col>3</xdr:col>
      <xdr:colOff>590550</xdr:colOff>
      <xdr:row>91</xdr:row>
      <xdr:rowOff>76199</xdr:rowOff>
    </xdr:to>
    <xdr:graphicFrame macro="">
      <xdr:nvGraphicFramePr>
        <xdr:cNvPr id="2" name="Diagramm 1">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0.84375</cdr:x>
      <cdr:y>0.8559</cdr:y>
    </cdr:from>
    <cdr:to>
      <cdr:x>0.9625</cdr:x>
      <cdr:y>0.93924</cdr:y>
    </cdr:to>
    <cdr:sp macro="" textlink="">
      <cdr:nvSpPr>
        <cdr:cNvPr id="2" name="Textfeld 1"/>
        <cdr:cNvSpPr txBox="1"/>
      </cdr:nvSpPr>
      <cdr:spPr>
        <a:xfrm xmlns:a="http://schemas.openxmlformats.org/drawingml/2006/main">
          <a:off x="3857625" y="2347913"/>
          <a:ext cx="542925" cy="228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1100"/>
            <a:t>dt/ha</a:t>
          </a:r>
        </a:p>
        <a:p xmlns:a="http://schemas.openxmlformats.org/drawingml/2006/main">
          <a:endParaRPr lang="de-DE" sz="1100"/>
        </a:p>
      </cdr:txBody>
    </cdr:sp>
  </cdr:relSizeAnchor>
  <cdr:relSizeAnchor xmlns:cdr="http://schemas.openxmlformats.org/drawingml/2006/chartDrawing">
    <cdr:from>
      <cdr:x>0</cdr:x>
      <cdr:y>0</cdr:y>
    </cdr:from>
    <cdr:to>
      <cdr:x>0.14792</cdr:x>
      <cdr:y>0.1059</cdr:y>
    </cdr:to>
    <cdr:sp macro="" textlink="">
      <cdr:nvSpPr>
        <cdr:cNvPr id="4" name="Textfeld 1"/>
        <cdr:cNvSpPr txBox="1"/>
      </cdr:nvSpPr>
      <cdr:spPr>
        <a:xfrm xmlns:a="http://schemas.openxmlformats.org/drawingml/2006/main">
          <a:off x="0" y="0"/>
          <a:ext cx="676275" cy="290513"/>
        </a:xfrm>
        <a:prstGeom xmlns:a="http://schemas.openxmlformats.org/drawingml/2006/main" prst="rect">
          <a:avLst/>
        </a:prstGeom>
        <a:solidFill xmlns:a="http://schemas.openxmlformats.org/drawingml/2006/main">
          <a:schemeClr val="bg1"/>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1100"/>
            <a:t>kg N/ha</a:t>
          </a:r>
        </a:p>
        <a:p xmlns:a="http://schemas.openxmlformats.org/drawingml/2006/main">
          <a:endParaRPr lang="de-DE" sz="1100"/>
        </a:p>
      </cdr:txBody>
    </cdr:sp>
  </cdr:relSizeAnchor>
</c:userShapes>
</file>

<file path=xl/drawings/drawing2.xml><?xml version="1.0" encoding="utf-8"?>
<xdr:wsDr xmlns:xdr="http://schemas.openxmlformats.org/drawingml/2006/spreadsheetDrawing" xmlns:a="http://schemas.openxmlformats.org/drawingml/2006/main">
  <xdr:oneCellAnchor>
    <xdr:from>
      <xdr:col>5</xdr:col>
      <xdr:colOff>85725</xdr:colOff>
      <xdr:row>33</xdr:row>
      <xdr:rowOff>50961</xdr:rowOff>
    </xdr:from>
    <xdr:ext cx="7846210" cy="4399594"/>
    <xdr:pic>
      <xdr:nvPicPr>
        <xdr:cNvPr id="2" name="Grafi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4743450" y="11423811"/>
          <a:ext cx="7846210" cy="4399594"/>
        </a:xfrm>
        <a:prstGeom prst="rect">
          <a:avLst/>
        </a:prstGeom>
      </xdr:spPr>
    </xdr:pic>
    <xdr:clientData/>
  </xdr:oneCellAnchor>
</xdr:wsDr>
</file>

<file path=xl/drawings/drawing20.xml><?xml version="1.0" encoding="utf-8"?>
<xdr:wsDr xmlns:xdr="http://schemas.openxmlformats.org/drawingml/2006/spreadsheetDrawing" xmlns:a="http://schemas.openxmlformats.org/drawingml/2006/main">
  <xdr:twoCellAnchor>
    <xdr:from>
      <xdr:col>0</xdr:col>
      <xdr:colOff>749753</xdr:colOff>
      <xdr:row>10</xdr:row>
      <xdr:rowOff>47626</xdr:rowOff>
    </xdr:from>
    <xdr:to>
      <xdr:col>5</xdr:col>
      <xdr:colOff>24492</xdr:colOff>
      <xdr:row>24</xdr:row>
      <xdr:rowOff>137433</xdr:rowOff>
    </xdr:to>
    <xdr:graphicFrame macro="">
      <xdr:nvGraphicFramePr>
        <xdr:cNvPr id="2" name="Diagramm 1">
          <a:extLst>
            <a:ext uri="{FF2B5EF4-FFF2-40B4-BE49-F238E27FC236}">
              <a16:creationId xmlns:a16="http://schemas.microsoft.com/office/drawing/2014/main" id="{00000000-0008-0000-2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125393</xdr:colOff>
      <xdr:row>0</xdr:row>
      <xdr:rowOff>159633</xdr:rowOff>
    </xdr:from>
    <xdr:to>
      <xdr:col>15</xdr:col>
      <xdr:colOff>313481</xdr:colOff>
      <xdr:row>14</xdr:row>
      <xdr:rowOff>190017</xdr:rowOff>
    </xdr:to>
    <xdr:graphicFrame macro="">
      <xdr:nvGraphicFramePr>
        <xdr:cNvPr id="3" name="Diagramm 2">
          <a:extLst>
            <a:ext uri="{FF2B5EF4-FFF2-40B4-BE49-F238E27FC236}">
              <a16:creationId xmlns:a16="http://schemas.microsoft.com/office/drawing/2014/main" id="{00000000-0008-0000-2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4</xdr:col>
      <xdr:colOff>333375</xdr:colOff>
      <xdr:row>33</xdr:row>
      <xdr:rowOff>70011</xdr:rowOff>
    </xdr:from>
    <xdr:ext cx="7846210" cy="4399594"/>
    <xdr:pic>
      <xdr:nvPicPr>
        <xdr:cNvPr id="2" name="Grafik 1">
          <a:extLst>
            <a:ext uri="{FF2B5EF4-FFF2-40B4-BE49-F238E27FC236}">
              <a16:creationId xmlns:a16="http://schemas.microsoft.com/office/drawing/2014/main" id="{D472C0A5-74B1-4F5A-8820-12CC9B1C999C}"/>
            </a:ext>
          </a:extLst>
        </xdr:cNvPr>
        <xdr:cNvPicPr>
          <a:picLocks noChangeAspect="1"/>
        </xdr:cNvPicPr>
      </xdr:nvPicPr>
      <xdr:blipFill>
        <a:blip xmlns:r="http://schemas.openxmlformats.org/officeDocument/2006/relationships" r:embed="rId1"/>
        <a:stretch>
          <a:fillRect/>
        </a:stretch>
      </xdr:blipFill>
      <xdr:spPr>
        <a:xfrm>
          <a:off x="4600575" y="11814336"/>
          <a:ext cx="7846210" cy="4399594"/>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1100667</xdr:colOff>
      <xdr:row>105</xdr:row>
      <xdr:rowOff>13759</xdr:rowOff>
    </xdr:from>
    <xdr:to>
      <xdr:col>3</xdr:col>
      <xdr:colOff>1672166</xdr:colOff>
      <xdr:row>119</xdr:row>
      <xdr:rowOff>89959</xdr:rowOff>
    </xdr:to>
    <xdr:graphicFrame macro="">
      <xdr:nvGraphicFramePr>
        <xdr:cNvPr id="2" name="Diagramm 1">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0.90138</cdr:x>
      <cdr:y>0.90548</cdr:y>
    </cdr:from>
    <cdr:to>
      <cdr:x>0.99771</cdr:x>
      <cdr:y>0.97106</cdr:y>
    </cdr:to>
    <cdr:sp macro="" textlink="">
      <cdr:nvSpPr>
        <cdr:cNvPr id="2" name="Textfeld 1"/>
        <cdr:cNvSpPr txBox="1"/>
      </cdr:nvSpPr>
      <cdr:spPr>
        <a:xfrm xmlns:a="http://schemas.openxmlformats.org/drawingml/2006/main">
          <a:off x="4159251" y="2483908"/>
          <a:ext cx="444498" cy="17991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1100"/>
            <a:t>dt/ha</a:t>
          </a:r>
        </a:p>
      </cdr:txBody>
    </cdr:sp>
  </cdr:relSizeAnchor>
  <cdr:relSizeAnchor xmlns:cdr="http://schemas.openxmlformats.org/drawingml/2006/chartDrawing">
    <cdr:from>
      <cdr:x>0.06204</cdr:x>
      <cdr:y>0.01466</cdr:y>
    </cdr:from>
    <cdr:to>
      <cdr:x>0.15837</cdr:x>
      <cdr:y>0.08024</cdr:y>
    </cdr:to>
    <cdr:sp macro="" textlink="">
      <cdr:nvSpPr>
        <cdr:cNvPr id="3" name="Textfeld 1"/>
        <cdr:cNvSpPr txBox="1"/>
      </cdr:nvSpPr>
      <cdr:spPr>
        <a:xfrm xmlns:a="http://schemas.openxmlformats.org/drawingml/2006/main">
          <a:off x="283633" y="40216"/>
          <a:ext cx="440421" cy="179899"/>
        </a:xfrm>
        <a:prstGeom xmlns:a="http://schemas.openxmlformats.org/drawingml/2006/main" prst="rect">
          <a:avLst/>
        </a:prstGeom>
        <a:solidFill xmlns:a="http://schemas.openxmlformats.org/drawingml/2006/main">
          <a:schemeClr val="bg1"/>
        </a:solidFill>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1100"/>
            <a:t>kg N/ha</a:t>
          </a:r>
        </a:p>
        <a:p xmlns:a="http://schemas.openxmlformats.org/drawingml/2006/main">
          <a:endParaRPr lang="de-DE" sz="1100"/>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161925</xdr:colOff>
      <xdr:row>90</xdr:row>
      <xdr:rowOff>66675</xdr:rowOff>
    </xdr:from>
    <xdr:to>
      <xdr:col>3</xdr:col>
      <xdr:colOff>666750</xdr:colOff>
      <xdr:row>91</xdr:row>
      <xdr:rowOff>152400</xdr:rowOff>
    </xdr:to>
    <xdr:sp macro="" textlink="">
      <xdr:nvSpPr>
        <xdr:cNvPr id="2" name="Textfeld 1">
          <a:extLst>
            <a:ext uri="{FF2B5EF4-FFF2-40B4-BE49-F238E27FC236}">
              <a16:creationId xmlns:a16="http://schemas.microsoft.com/office/drawing/2014/main" id="{00000000-0008-0000-1200-000002000000}"/>
            </a:ext>
          </a:extLst>
        </xdr:cNvPr>
        <xdr:cNvSpPr txBox="1"/>
      </xdr:nvSpPr>
      <xdr:spPr>
        <a:xfrm>
          <a:off x="7086600" y="24412575"/>
          <a:ext cx="504825" cy="27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dt/ha</a:t>
          </a:r>
        </a:p>
        <a:p>
          <a:endParaRPr lang="de-DE" sz="1100"/>
        </a:p>
      </xdr:txBody>
    </xdr:sp>
    <xdr:clientData/>
  </xdr:twoCellAnchor>
  <xdr:twoCellAnchor>
    <xdr:from>
      <xdr:col>1</xdr:col>
      <xdr:colOff>31750</xdr:colOff>
      <xdr:row>77</xdr:row>
      <xdr:rowOff>67734</xdr:rowOff>
    </xdr:from>
    <xdr:to>
      <xdr:col>3</xdr:col>
      <xdr:colOff>232833</xdr:colOff>
      <xdr:row>91</xdr:row>
      <xdr:rowOff>143934</xdr:rowOff>
    </xdr:to>
    <xdr:graphicFrame macro="">
      <xdr:nvGraphicFramePr>
        <xdr:cNvPr id="3" name="Diagramm 2">
          <a:extLst>
            <a:ext uri="{FF2B5EF4-FFF2-40B4-BE49-F238E27FC236}">
              <a16:creationId xmlns:a16="http://schemas.microsoft.com/office/drawing/2014/main" id="{00000000-0008-0000-1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0.84491</cdr:x>
      <cdr:y>0.86265</cdr:y>
    </cdr:from>
    <cdr:to>
      <cdr:x>1</cdr:x>
      <cdr:y>0.96296</cdr:y>
    </cdr:to>
    <cdr:sp macro="" textlink="">
      <cdr:nvSpPr>
        <cdr:cNvPr id="2" name="Textfeld 1"/>
        <cdr:cNvSpPr txBox="1"/>
      </cdr:nvSpPr>
      <cdr:spPr>
        <a:xfrm xmlns:a="http://schemas.openxmlformats.org/drawingml/2006/main">
          <a:off x="3862916" y="2366433"/>
          <a:ext cx="709084" cy="27516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1100"/>
            <a:t>dt/ha</a:t>
          </a:r>
        </a:p>
        <a:p xmlns:a="http://schemas.openxmlformats.org/drawingml/2006/main">
          <a:endParaRPr lang="de-DE" sz="1100"/>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2324100</xdr:colOff>
      <xdr:row>76</xdr:row>
      <xdr:rowOff>104775</xdr:rowOff>
    </xdr:from>
    <xdr:to>
      <xdr:col>3</xdr:col>
      <xdr:colOff>781050</xdr:colOff>
      <xdr:row>90</xdr:row>
      <xdr:rowOff>180975</xdr:rowOff>
    </xdr:to>
    <xdr:graphicFrame macro="">
      <xdr:nvGraphicFramePr>
        <xdr:cNvPr id="2" name="Diagramm 1">
          <a:extLst>
            <a:ext uri="{FF2B5EF4-FFF2-40B4-BE49-F238E27FC236}">
              <a16:creationId xmlns:a16="http://schemas.microsoft.com/office/drawing/2014/main" id="{00000000-0008-0000-1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161925</xdr:colOff>
      <xdr:row>88</xdr:row>
      <xdr:rowOff>66675</xdr:rowOff>
    </xdr:from>
    <xdr:to>
      <xdr:col>3</xdr:col>
      <xdr:colOff>666750</xdr:colOff>
      <xdr:row>89</xdr:row>
      <xdr:rowOff>152400</xdr:rowOff>
    </xdr:to>
    <xdr:sp macro="" textlink="">
      <xdr:nvSpPr>
        <xdr:cNvPr id="3" name="Textfeld 2">
          <a:extLst>
            <a:ext uri="{FF2B5EF4-FFF2-40B4-BE49-F238E27FC236}">
              <a16:creationId xmlns:a16="http://schemas.microsoft.com/office/drawing/2014/main" id="{00000000-0008-0000-1300-000003000000}"/>
            </a:ext>
          </a:extLst>
        </xdr:cNvPr>
        <xdr:cNvSpPr txBox="1"/>
      </xdr:nvSpPr>
      <xdr:spPr>
        <a:xfrm>
          <a:off x="7486650" y="22659975"/>
          <a:ext cx="504825" cy="27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dt/ha</a:t>
          </a:r>
        </a:p>
        <a:p>
          <a:endParaRPr lang="de-DE" sz="1100"/>
        </a:p>
      </xdr:txBody>
    </xdr:sp>
    <xdr:clientData/>
  </xdr:twoCellAnchor>
</xdr:wsDr>
</file>

<file path=xl/drawings/drawing9.xml><?xml version="1.0" encoding="utf-8"?>
<c:userShapes xmlns:c="http://schemas.openxmlformats.org/drawingml/2006/chart">
  <cdr:relSizeAnchor xmlns:cdr="http://schemas.openxmlformats.org/drawingml/2006/chartDrawing">
    <cdr:from>
      <cdr:x>0.01111</cdr:x>
      <cdr:y>0.01852</cdr:y>
    </cdr:from>
    <cdr:to>
      <cdr:x>0.10744</cdr:x>
      <cdr:y>0.0841</cdr:y>
    </cdr:to>
    <cdr:sp macro="" textlink="">
      <cdr:nvSpPr>
        <cdr:cNvPr id="2" name="Textfeld 1"/>
        <cdr:cNvSpPr txBox="1"/>
      </cdr:nvSpPr>
      <cdr:spPr>
        <a:xfrm xmlns:a="http://schemas.openxmlformats.org/drawingml/2006/main">
          <a:off x="50800" y="50800"/>
          <a:ext cx="440421" cy="179899"/>
        </a:xfrm>
        <a:prstGeom xmlns:a="http://schemas.openxmlformats.org/drawingml/2006/main" prst="rect">
          <a:avLst/>
        </a:prstGeom>
        <a:solidFill xmlns:a="http://schemas.openxmlformats.org/drawingml/2006/main">
          <a:schemeClr val="bg1"/>
        </a:solidFill>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1100"/>
            <a:t>kg N/ha</a:t>
          </a:r>
        </a:p>
        <a:p xmlns:a="http://schemas.openxmlformats.org/drawingml/2006/main">
          <a:endParaRPr lang="de-DE" sz="11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localhost\C$\Users\fritsch\AppData\Local\Temp\notes88D30A\NV-SSB-RLP%20Vers.%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inführung"/>
      <sheetName val="Betrieb"/>
      <sheetName val="Tierhaltung"/>
      <sheetName val="Grobfutter"/>
      <sheetName val="Pflanzenbau"/>
      <sheetName val="Organ. Dünger"/>
      <sheetName val="Mineraldünger"/>
      <sheetName val="Biogasanlage"/>
      <sheetName val="Futtermittel Saatgut"/>
      <sheetName val="Tiere"/>
      <sheetName val="tier. Produkte"/>
      <sheetName val="Ausdruck Nährstoffvergleich"/>
      <sheetName val="Ausdruck Stoffstrombilanz"/>
      <sheetName val="Daten Tierhaltung"/>
      <sheetName val="Daten Düngemittel"/>
      <sheetName val="Daten Biogasanlage"/>
      <sheetName val="Daten Ernteprodukte"/>
      <sheetName val="Daten Gemüse Arznei Gewürz"/>
      <sheetName val="Daten Grobfutter"/>
      <sheetName val="Daten Futtermittel Saatgut"/>
      <sheetName val="Daten Tiere"/>
      <sheetName val="DüV Grünland"/>
      <sheetName val="Schema NV"/>
      <sheetName val="Schema SSB"/>
      <sheetName val="Tabel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7">
          <cell r="B7" t="str">
            <v>leer</v>
          </cell>
        </row>
        <row r="8">
          <cell r="B8" t="str">
            <v>Rinderaufz. GL konv. 0 - 27 Monate bP</v>
          </cell>
        </row>
        <row r="9">
          <cell r="B9" t="str">
            <v>Rinderaufz. GL ext. 0 - 27 Monate bP</v>
          </cell>
        </row>
        <row r="10">
          <cell r="B10" t="str">
            <v>Rinderaufz. AL Weide 0 - 27 Monate bP</v>
          </cell>
        </row>
        <row r="11">
          <cell r="B11" t="str">
            <v>Rinderaufz. AL Stall 0 - 27 Monate bP</v>
          </cell>
        </row>
        <row r="12">
          <cell r="B12" t="str">
            <v xml:space="preserve">Milchkuh GL mit Weide </v>
          </cell>
        </row>
        <row r="13">
          <cell r="B13" t="str">
            <v>Milchkuh GL ohne Weide , mit Heu</v>
          </cell>
        </row>
        <row r="14">
          <cell r="B14" t="str">
            <v>Milchkuh AL mit Weide</v>
          </cell>
        </row>
        <row r="15">
          <cell r="B15" t="str">
            <v>Milchkuh AL ohne Weide, mit Heu</v>
          </cell>
        </row>
        <row r="16">
          <cell r="B16" t="str">
            <v>Milchkuh leichte Rasse</v>
          </cell>
        </row>
        <row r="17">
          <cell r="B17" t="str">
            <v>Kälberaufz. 16 Wochen bP</v>
          </cell>
        </row>
        <row r="18">
          <cell r="B18" t="str">
            <v>Rosa-Kalbfleisch 50 - 350 kg bP</v>
          </cell>
        </row>
        <row r="19">
          <cell r="B19" t="str">
            <v>Kälbermast 50  - 250 kg bP</v>
          </cell>
        </row>
        <row r="20">
          <cell r="B20" t="str">
            <v>Kälbermast 50 - 260 kg bP</v>
          </cell>
        </row>
        <row r="21">
          <cell r="B21" t="str">
            <v>Fresseraufz. 80 - 210 kg U-Futter bP</v>
          </cell>
        </row>
        <row r="22">
          <cell r="B22" t="str">
            <v>Fresseraufz. 80 - 210 kg N-/P-red. bP</v>
          </cell>
        </row>
        <row r="23">
          <cell r="B23" t="str">
            <v>Bullenmast 45 - 675 kg bP</v>
          </cell>
        </row>
        <row r="24">
          <cell r="B24" t="str">
            <v>Bullenmast 45 -750 kg bP</v>
          </cell>
        </row>
        <row r="25">
          <cell r="B25" t="str">
            <v>Bullenmast 80 - 750 kg bP</v>
          </cell>
        </row>
        <row r="26">
          <cell r="B26" t="str">
            <v>Bullenmast 210 - 750 kg bP</v>
          </cell>
        </row>
        <row r="27">
          <cell r="B27" t="str">
            <v>Mutterkuh 500 kg 6 Monate Säugez. bP</v>
          </cell>
        </row>
        <row r="28">
          <cell r="B28" t="str">
            <v>Mutterkuh 700 kg 6 Monate Säugez. bP</v>
          </cell>
        </row>
        <row r="29">
          <cell r="B29" t="str">
            <v>Mutterkuh 700 kg 9 Monate Säugez. bP</v>
          </cell>
        </row>
        <row r="30">
          <cell r="B30" t="str">
            <v>Sau + 22 Ferkel 8 kg U-Futter bP</v>
          </cell>
        </row>
        <row r="31">
          <cell r="B31" t="str">
            <v>Sau + 22 Ferkel 8 kg N-P-red. bP</v>
          </cell>
        </row>
        <row r="32">
          <cell r="B32" t="str">
            <v>Sau + 22 Ferkel 8 kg stark N-P-red. bP</v>
          </cell>
        </row>
        <row r="33">
          <cell r="B33" t="str">
            <v>Sau + 25 Ferkel 8 kg U-Futter bP</v>
          </cell>
        </row>
        <row r="34">
          <cell r="B34" t="str">
            <v>Sau + 25 Ferkel 8 kg N-P-red. bP</v>
          </cell>
        </row>
        <row r="35">
          <cell r="B35" t="str">
            <v>Sau + 25 Ferkel 8 kg stark N-P-red. bP</v>
          </cell>
        </row>
        <row r="36">
          <cell r="B36" t="str">
            <v>Sau + 28 Ferkel 8 kg U-Futter bP</v>
          </cell>
        </row>
        <row r="37">
          <cell r="B37" t="str">
            <v>Sau + 28 Ferkel 8 kg N-P-red. bP</v>
          </cell>
        </row>
        <row r="38">
          <cell r="B38" t="str">
            <v>Sau + 28 Ferkel 8 kg stark N-P-red. bP</v>
          </cell>
        </row>
        <row r="39">
          <cell r="B39" t="str">
            <v>Sau + 22 Ferkel 28 kg U-Futter bP</v>
          </cell>
        </row>
        <row r="40">
          <cell r="B40" t="str">
            <v>Sau + 22 Ferkel 28 kg N-P-red. bP</v>
          </cell>
        </row>
        <row r="41">
          <cell r="B41" t="str">
            <v>Sau + 22 Ferkel 28 kg stark N-P-red. bP</v>
          </cell>
        </row>
        <row r="42">
          <cell r="B42" t="str">
            <v>Sau + 25 Ferkel 28 kg U-Futter bP</v>
          </cell>
        </row>
        <row r="43">
          <cell r="B43" t="str">
            <v>Sau + 25 Ferkel 28 kg N-P-red. bP</v>
          </cell>
        </row>
        <row r="44">
          <cell r="B44" t="str">
            <v>Sau + 25 Ferkel 28 kg stark N-P-red. bP</v>
          </cell>
        </row>
        <row r="45">
          <cell r="B45" t="str">
            <v>Sau + 28 Ferkel 28 kg U-Futter bP</v>
          </cell>
        </row>
        <row r="46">
          <cell r="B46" t="str">
            <v>Sau + 28 Ferkel 28 kg N-P-red. bP</v>
          </cell>
        </row>
        <row r="47">
          <cell r="B47" t="str">
            <v>Sau + 28 Ferkel 28 kg stark N-P-red. bP</v>
          </cell>
        </row>
        <row r="48">
          <cell r="B48" t="str">
            <v>Spez. Ferkelaufz. 7 Durchg. U-Futter bP</v>
          </cell>
        </row>
        <row r="49">
          <cell r="B49" t="str">
            <v>Spez. Ferkelaufz. 7 Durchg. N-P-red. bP</v>
          </cell>
        </row>
        <row r="50">
          <cell r="B50" t="str">
            <v>Spez. Ferkelaufz. 7 Durchg. stark N-P-red. bP</v>
          </cell>
        </row>
        <row r="51">
          <cell r="B51" t="str">
            <v>Spezl. Ferkelaufz. 8 Durchg. U-Futter bP</v>
          </cell>
        </row>
        <row r="52">
          <cell r="B52" t="str">
            <v>Spez. Ferkelaufz. 8 Durchg. N-P-red. bP</v>
          </cell>
        </row>
        <row r="53">
          <cell r="B53" t="str">
            <v>Spez. Ferkelaufz. 8 Durchg. stark N-P-red. bP</v>
          </cell>
        </row>
        <row r="54">
          <cell r="B54" t="str">
            <v>Jungsauenaufz. 28 - 115 kg U-Futter bP</v>
          </cell>
        </row>
        <row r="55">
          <cell r="B55" t="str">
            <v>Jungsauenaufz. 28 - 115 kg N-P-red. bP</v>
          </cell>
        </row>
        <row r="56">
          <cell r="B56" t="str">
            <v>Jungsaueneingl. 95 - 135 kg U-Futter bP</v>
          </cell>
        </row>
        <row r="57">
          <cell r="B57" t="str">
            <v>Jungsaueneingl. 95 -135 kg N-P-red. bP</v>
          </cell>
        </row>
        <row r="58">
          <cell r="B58" t="str">
            <v>Mastschwein U-Futter bP</v>
          </cell>
        </row>
        <row r="59">
          <cell r="B59" t="str">
            <v>Mastschwein N-P-red. bP</v>
          </cell>
        </row>
        <row r="60">
          <cell r="B60" t="str">
            <v>Mastschwein stark N-P-red. bP</v>
          </cell>
        </row>
        <row r="61">
          <cell r="B61" t="str">
            <v>Jungebermast 2,7 Durchg. U-Futter bP</v>
          </cell>
        </row>
        <row r="62">
          <cell r="B62" t="str">
            <v>Jungebermast 2,7 Durchg. N-P-red. bP</v>
          </cell>
        </row>
        <row r="63">
          <cell r="B63" t="str">
            <v>Eberhaltung bP</v>
          </cell>
        </row>
        <row r="64">
          <cell r="B64" t="str">
            <v>Junghennenaufz. 3,5 kg Zuw. U-Futter bP</v>
          </cell>
        </row>
        <row r="65">
          <cell r="B65" t="str">
            <v>Junghennenaufz. 3,5 kg Zuw. N-P-red. bP</v>
          </cell>
        </row>
        <row r="66">
          <cell r="B66" t="str">
            <v>Legehennenhalt. 17,6 kg Eimasse U-Futter bP</v>
          </cell>
        </row>
        <row r="67">
          <cell r="B67" t="str">
            <v>Legehennenhalt. 17,6 kg Eimasse N-P-red. bP</v>
          </cell>
        </row>
        <row r="68">
          <cell r="B68" t="str">
            <v>Hähnchenmast 39 Tage U-Futter bP</v>
          </cell>
        </row>
        <row r="69">
          <cell r="B69" t="str">
            <v>Hähnchenmast 39 Tage N-P-red. bP</v>
          </cell>
        </row>
        <row r="70">
          <cell r="B70" t="str">
            <v xml:space="preserve">Hähnchenmast 34 - 38 Tage U-Futter bP </v>
          </cell>
        </row>
        <row r="71">
          <cell r="B71" t="str">
            <v>Hähnchenmast 34 - 38 Tage N-P-red. bP</v>
          </cell>
        </row>
        <row r="72">
          <cell r="B72" t="str">
            <v>Hähnchenmast 30 - 33 Tage U-Futter bP</v>
          </cell>
        </row>
        <row r="73">
          <cell r="B73" t="str">
            <v>Hähnchenmast 30 - 33 Tage N-P-red. bP</v>
          </cell>
        </row>
        <row r="74">
          <cell r="B74" t="str">
            <v>Hähnchenmast bis 29 Tage U-Futter bP</v>
          </cell>
        </row>
        <row r="75">
          <cell r="B75" t="str">
            <v>Hähnchenmast bis 29 Tage N-P-red. bP</v>
          </cell>
        </row>
        <row r="76">
          <cell r="B76" t="str">
            <v>Putenmast Hahn 21 Wochen U.Futter eT</v>
          </cell>
        </row>
        <row r="77">
          <cell r="B77" t="str">
            <v>Putenmast Hahn 21 Wochen N-P-red.  eT</v>
          </cell>
        </row>
        <row r="78">
          <cell r="B78" t="str">
            <v>Putenmast Henne 16 Wochen U-Futter  eT</v>
          </cell>
        </row>
        <row r="79">
          <cell r="B79" t="str">
            <v>Putenmast Henne 16 Wochen N-P-red.  eT</v>
          </cell>
        </row>
        <row r="80">
          <cell r="B80" t="str">
            <v>Putenmast Hahn 6. - 21. Woche U-Futter  eT</v>
          </cell>
        </row>
        <row r="81">
          <cell r="B81" t="str">
            <v xml:space="preserve">Putenmast Hahn 6. - 21. Woche N-P-red.  eT </v>
          </cell>
        </row>
        <row r="82">
          <cell r="B82" t="str">
            <v>Putenmast Henne 6. - 16. Woche U-Futter  eT</v>
          </cell>
        </row>
        <row r="83">
          <cell r="B83" t="str">
            <v>Putenmast Henne 6. - 16. Woche N-P-red.  eT</v>
          </cell>
        </row>
        <row r="84">
          <cell r="B84" t="str">
            <v>Putenmast gem. geschlechtl. U-Futter  eT</v>
          </cell>
        </row>
        <row r="85">
          <cell r="B85" t="str">
            <v>Putenmast gem. geschlechtl. N-P-red.  eT</v>
          </cell>
        </row>
        <row r="86">
          <cell r="B86" t="str">
            <v>Putenaufz. bis 5. Woche U-Futter  eT</v>
          </cell>
        </row>
        <row r="87">
          <cell r="B87" t="str">
            <v>Pekingenten 6,5 Durchg. bP</v>
          </cell>
        </row>
        <row r="88">
          <cell r="B88" t="str">
            <v>Flugenten 4 Durchg. bP</v>
          </cell>
        </row>
        <row r="89">
          <cell r="B89" t="str">
            <v>Gänse Schnellmast  eT</v>
          </cell>
        </row>
        <row r="90">
          <cell r="B90" t="str">
            <v>Gänse Mittelmast  eT</v>
          </cell>
        </row>
        <row r="91">
          <cell r="B91" t="str">
            <v>Gänse Spät-/Weidemast  eT</v>
          </cell>
        </row>
        <row r="92">
          <cell r="B92" t="str">
            <v>Reitpferde 500 - 600 kg Stall bP</v>
          </cell>
        </row>
        <row r="93">
          <cell r="B93" t="str">
            <v>Reitpferde 500 - 600 kg Stall/Weide bP</v>
          </cell>
        </row>
        <row r="94">
          <cell r="B94" t="str">
            <v>Reitponys 300 kg Stall bP</v>
          </cell>
        </row>
        <row r="95">
          <cell r="B95" t="str">
            <v>Reitponys 300 kg Stall/Weide bP</v>
          </cell>
        </row>
        <row r="96">
          <cell r="B96" t="str">
            <v>Zuchtstuten Großpferd 600 kg bP</v>
          </cell>
        </row>
        <row r="97">
          <cell r="B97" t="str">
            <v>Zuchtstuten Pony 350 kg bP</v>
          </cell>
        </row>
        <row r="98">
          <cell r="B98" t="str">
            <v>Aufzuchtpferde Großpferd bP</v>
          </cell>
        </row>
        <row r="99">
          <cell r="B99" t="str">
            <v>Aufzuchtpferde Pony bP</v>
          </cell>
        </row>
        <row r="100">
          <cell r="B100" t="str">
            <v>Kaninchen + 52 Jungtiere bis 0,6 kg bP</v>
          </cell>
        </row>
        <row r="101">
          <cell r="B101" t="str">
            <v>Kaninchen + 52 Jungtiere bis 3 kg bP</v>
          </cell>
        </row>
        <row r="102">
          <cell r="B102" t="str">
            <v>Kaninchenmast 0,6 - 3 kg bP</v>
          </cell>
        </row>
        <row r="103">
          <cell r="B103" t="str">
            <v>Mutterschaf + 1,5 Lämmer/Schaf konv. bP</v>
          </cell>
        </row>
        <row r="104">
          <cell r="B104" t="str">
            <v>Mutterschaf + 1,1 Lämmer/Schaf ext. bP</v>
          </cell>
        </row>
        <row r="105">
          <cell r="B105" t="str">
            <v>Milchziege 800 kg + 1,5 Lämmer/Jahr bP</v>
          </cell>
        </row>
        <row r="106">
          <cell r="B106" t="str">
            <v>Damtiere + 0,85 Kalb/Jahr) bP</v>
          </cell>
        </row>
        <row r="107">
          <cell r="B107" t="str">
            <v>eigene Angaben</v>
          </cell>
        </row>
        <row r="108">
          <cell r="B108" t="str">
            <v>eigene Angaben</v>
          </cell>
        </row>
      </sheetData>
      <sheetData sheetId="14" refreshError="1">
        <row r="5">
          <cell r="B5" t="str">
            <v>leer</v>
          </cell>
        </row>
        <row r="6">
          <cell r="B6" t="str">
            <v>Standard-Rindergülle 7,5 % TM</v>
          </cell>
        </row>
        <row r="7">
          <cell r="B7" t="str">
            <v>eigene Rindergülle 7,5 % TM</v>
          </cell>
        </row>
        <row r="8">
          <cell r="B8" t="str">
            <v>Standard-Rindermist 25 % TM</v>
          </cell>
        </row>
        <row r="9">
          <cell r="B9" t="str">
            <v>eigener Rindermist 25 % TM</v>
          </cell>
        </row>
        <row r="10">
          <cell r="B10" t="str">
            <v>Standard-Rinderjauche 2 % TM</v>
          </cell>
        </row>
        <row r="11">
          <cell r="B11" t="str">
            <v>eigene Rinderjauche 2 % TM</v>
          </cell>
        </row>
        <row r="12">
          <cell r="B12" t="str">
            <v>Standard-Schweinegülle 5 % TM</v>
          </cell>
        </row>
        <row r="13">
          <cell r="B13" t="str">
            <v>eigene Schweinegülle 5 % TM</v>
          </cell>
        </row>
        <row r="14">
          <cell r="B14" t="str">
            <v>Standard-Schweinemist 25 % TM</v>
          </cell>
        </row>
        <row r="15">
          <cell r="B15" t="str">
            <v>eigener Schweinemist 25 % TM</v>
          </cell>
        </row>
        <row r="16">
          <cell r="B16" t="str">
            <v>Standard-HTK 40 % TM</v>
          </cell>
        </row>
        <row r="17">
          <cell r="B17" t="str">
            <v>Standard-HTK 55 % TM</v>
          </cell>
        </row>
        <row r="18">
          <cell r="B18" t="str">
            <v>Standard-HTK 70 % TM</v>
          </cell>
        </row>
        <row r="19">
          <cell r="B19" t="str">
            <v>eigener HTK 70 % TM</v>
          </cell>
        </row>
        <row r="20">
          <cell r="B20" t="str">
            <v>Standard-Geflügelmist 50 % TM</v>
          </cell>
        </row>
        <row r="21">
          <cell r="B21" t="str">
            <v>eigener Geflügelmist 50 % TM</v>
          </cell>
        </row>
        <row r="22">
          <cell r="B22" t="str">
            <v>Schafmist 30 % TM</v>
          </cell>
        </row>
        <row r="23">
          <cell r="B23" t="str">
            <v>Standard-Pferdemist 30 % TM</v>
          </cell>
        </row>
        <row r="24">
          <cell r="B24" t="str">
            <v>eigener Pferdemist 30 % TM</v>
          </cell>
        </row>
        <row r="25">
          <cell r="B25" t="str">
            <v>Standard-Klärschlamm 3,5 % TM</v>
          </cell>
        </row>
        <row r="26">
          <cell r="B26" t="str">
            <v>eigener Klärschlamm 1, 3,5 % TM</v>
          </cell>
        </row>
        <row r="27">
          <cell r="B27" t="str">
            <v>eigener Klärschlamm 2, 3,5 % TM</v>
          </cell>
        </row>
        <row r="28">
          <cell r="B28" t="str">
            <v>Haarmehlpellets 94 % TM</v>
          </cell>
        </row>
        <row r="29">
          <cell r="B29" t="str">
            <v>Hornspäne 88 % TM</v>
          </cell>
        </row>
        <row r="30">
          <cell r="B30" t="str">
            <v>Fleischknochenmehl 92 % TM</v>
          </cell>
        </row>
        <row r="31">
          <cell r="B31" t="str">
            <v>Kartoffelschlempe 5 %TM</v>
          </cell>
        </row>
        <row r="32">
          <cell r="B32" t="str">
            <v>Maltaflor 93 % TM</v>
          </cell>
        </row>
        <row r="33">
          <cell r="B33" t="str">
            <v>Ackerbohnenschrot 88 % TM</v>
          </cell>
        </row>
        <row r="34">
          <cell r="B34" t="str">
            <v>Rapsextraktionsschrot</v>
          </cell>
        </row>
        <row r="35">
          <cell r="B35" t="str">
            <v>Vinasse 66 % TM</v>
          </cell>
        </row>
        <row r="36">
          <cell r="B36" t="str">
            <v>Trester frisch 40 % TM, 1 m³ = 5 dt</v>
          </cell>
        </row>
        <row r="37">
          <cell r="B37" t="str">
            <v>Trester kompostiert 40 % TM</v>
          </cell>
        </row>
        <row r="38">
          <cell r="B38" t="str">
            <v>Mosttrub flüssig (1 hl = 1 dt)</v>
          </cell>
        </row>
        <row r="39">
          <cell r="B39" t="str">
            <v>Weinhefe flüssig 20 % TM (1 hl = 1 dt)</v>
          </cell>
        </row>
        <row r="40">
          <cell r="B40" t="str">
            <v>Weinhefe filtriert 40 % TM (1 hl = 0,7 dt)</v>
          </cell>
        </row>
        <row r="41">
          <cell r="B41" t="str">
            <v>Rebholz (ca 25 - 50 dt/ha)</v>
          </cell>
        </row>
        <row r="42">
          <cell r="B42" t="str">
            <v>Wirtschaftsdünger 1 (eigene Angaben)</v>
          </cell>
        </row>
        <row r="43">
          <cell r="B43" t="str">
            <v>Wirtschaftsdünger 2 (eigene Angaben)</v>
          </cell>
        </row>
        <row r="44">
          <cell r="B44" t="str">
            <v>Wirtschaftsdünger 3 (eigene Angaben)</v>
          </cell>
        </row>
        <row r="45">
          <cell r="B45" t="str">
            <v>Wirtschaftsdünger 4 (eigene Angaben)</v>
          </cell>
        </row>
        <row r="46">
          <cell r="B46" t="str">
            <v>leer</v>
          </cell>
        </row>
        <row r="47">
          <cell r="B47" t="str">
            <v>Gärrest flüssig 1 (eigene Angaben)</v>
          </cell>
        </row>
        <row r="48">
          <cell r="B48" t="str">
            <v>Gärrest flüssig 2 (eigene Angaben)</v>
          </cell>
        </row>
        <row r="49">
          <cell r="B49" t="str">
            <v>Gärrest flüssig 3 (eigene Angaben)</v>
          </cell>
        </row>
        <row r="50">
          <cell r="B50" t="str">
            <v>Gärrest fest 1 (eigene Angaben)</v>
          </cell>
        </row>
        <row r="51">
          <cell r="B51" t="str">
            <v>Gärrest fest 2 (eigene Angaben)</v>
          </cell>
        </row>
        <row r="54">
          <cell r="B54" t="str">
            <v>leer</v>
          </cell>
        </row>
        <row r="55">
          <cell r="B55" t="str">
            <v>Bioabfall-Kompost 61 % TM</v>
          </cell>
        </row>
        <row r="56">
          <cell r="B56" t="str">
            <v>Grüngut-Kompost 59 % TM</v>
          </cell>
        </row>
        <row r="57">
          <cell r="B57" t="str">
            <v>Champignonerde 33 % TM</v>
          </cell>
        </row>
        <row r="58">
          <cell r="B58" t="str">
            <v>Kompost 1 (eigene Angaben)</v>
          </cell>
        </row>
        <row r="59">
          <cell r="B59" t="str">
            <v>Kompost 2 (eigene Angaben)</v>
          </cell>
        </row>
        <row r="60">
          <cell r="B60" t="str">
            <v>Kompost 3 (eigene Angaben)</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wasserschutzberatung.rlp.de/" TargetMode="External"/><Relationship Id="rId2" Type="http://schemas.openxmlformats.org/officeDocument/2006/relationships/hyperlink" Target="http://www.pflanzenbau.rlp.de/" TargetMode="External"/><Relationship Id="rId1" Type="http://schemas.openxmlformats.org/officeDocument/2006/relationships/hyperlink" Target="mailto:friedhelm.fritsch@dlr.rlp.de"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rgb="FF222E9E"/>
    <pageSetUpPr fitToPage="1"/>
  </sheetPr>
  <dimension ref="B3:L50"/>
  <sheetViews>
    <sheetView topLeftCell="A7" zoomScaleNormal="100" workbookViewId="0"/>
  </sheetViews>
  <sheetFormatPr baseColWidth="10" defaultRowHeight="15" x14ac:dyDescent="0.25"/>
  <cols>
    <col min="1" max="1" width="6.5703125" style="80" customWidth="1"/>
    <col min="2" max="2" width="13.28515625" style="148" customWidth="1"/>
    <col min="3" max="4" width="13.28515625" style="80" customWidth="1"/>
    <col min="5" max="5" width="14.5703125" style="80" customWidth="1"/>
    <col min="6" max="11" width="13.28515625" style="80" customWidth="1"/>
    <col min="12" max="12" width="16.140625" style="80" customWidth="1"/>
    <col min="13" max="16384" width="11.42578125" style="80"/>
  </cols>
  <sheetData>
    <row r="3" spans="2:12" ht="18.75" x14ac:dyDescent="0.25">
      <c r="B3" s="147" t="s">
        <v>530</v>
      </c>
    </row>
    <row r="4" spans="2:12" ht="15.75" x14ac:dyDescent="0.25">
      <c r="B4" s="1255" t="s">
        <v>1299</v>
      </c>
      <c r="C4" s="1255"/>
      <c r="D4" s="1255"/>
      <c r="E4" s="1256"/>
      <c r="F4" s="1254"/>
      <c r="G4" s="1254"/>
      <c r="H4" s="1254"/>
      <c r="I4" s="1254"/>
      <c r="J4" s="1254"/>
      <c r="K4" s="1254"/>
      <c r="L4" s="1254"/>
    </row>
    <row r="5" spans="2:12" ht="9.75" customHeight="1" x14ac:dyDescent="0.25">
      <c r="B5" s="1254"/>
      <c r="C5" s="1254"/>
      <c r="D5" s="1254"/>
      <c r="E5" s="1254"/>
      <c r="F5" s="1254"/>
      <c r="G5" s="1254"/>
      <c r="H5" s="1254"/>
      <c r="I5" s="1254"/>
      <c r="J5" s="1254"/>
      <c r="K5" s="1254"/>
      <c r="L5" s="1254"/>
    </row>
    <row r="6" spans="2:12" ht="16.5" customHeight="1" x14ac:dyDescent="0.25">
      <c r="B6" s="1257" t="s">
        <v>529</v>
      </c>
      <c r="C6" s="1258"/>
      <c r="D6" s="1258"/>
      <c r="E6" s="1258"/>
      <c r="F6" s="1258"/>
      <c r="G6" s="1258"/>
      <c r="H6" s="1258"/>
      <c r="I6" s="1258"/>
      <c r="J6" s="1258"/>
      <c r="K6" s="1258"/>
      <c r="L6" s="1258"/>
    </row>
    <row r="7" spans="2:12" ht="7.5" customHeight="1" x14ac:dyDescent="0.25">
      <c r="B7" s="149"/>
      <c r="C7" s="124"/>
      <c r="D7" s="124"/>
      <c r="E7" s="124"/>
      <c r="F7" s="124"/>
      <c r="G7" s="124"/>
      <c r="H7" s="124"/>
      <c r="I7" s="124"/>
      <c r="J7" s="124"/>
      <c r="K7" s="124"/>
      <c r="L7" s="124"/>
    </row>
    <row r="8" spans="2:12" ht="48" customHeight="1" x14ac:dyDescent="0.25">
      <c r="B8" s="1259" t="s">
        <v>1199</v>
      </c>
      <c r="C8" s="1260"/>
      <c r="D8" s="1260"/>
      <c r="E8" s="1260"/>
      <c r="F8" s="1260"/>
      <c r="G8" s="1260"/>
      <c r="H8" s="1260"/>
      <c r="I8" s="1260"/>
      <c r="J8" s="1260"/>
      <c r="K8" s="1260"/>
      <c r="L8" s="1260"/>
    </row>
    <row r="9" spans="2:12" ht="6.75" customHeight="1" x14ac:dyDescent="0.25">
      <c r="B9" s="1001"/>
      <c r="C9" s="801"/>
      <c r="D9" s="801"/>
      <c r="E9" s="801"/>
      <c r="F9" s="801"/>
      <c r="G9" s="801"/>
      <c r="H9" s="801"/>
      <c r="I9" s="801"/>
      <c r="J9" s="801"/>
      <c r="K9" s="801"/>
      <c r="L9" s="801"/>
    </row>
    <row r="10" spans="2:12" ht="64.5" customHeight="1" x14ac:dyDescent="0.25">
      <c r="B10" s="1268" t="s">
        <v>1296</v>
      </c>
      <c r="C10" s="1269"/>
      <c r="D10" s="1269"/>
      <c r="E10" s="1269"/>
      <c r="F10" s="1269"/>
      <c r="G10" s="1269"/>
      <c r="H10" s="1269"/>
      <c r="I10" s="1269"/>
      <c r="J10" s="1269"/>
      <c r="K10" s="1269"/>
      <c r="L10" s="1269"/>
    </row>
    <row r="11" spans="2:12" ht="7.5" customHeight="1" x14ac:dyDescent="0.25">
      <c r="B11" s="149"/>
      <c r="C11" s="124"/>
      <c r="D11" s="124"/>
      <c r="E11" s="124"/>
      <c r="F11" s="124"/>
      <c r="G11" s="124"/>
      <c r="H11" s="124"/>
      <c r="I11" s="124"/>
      <c r="J11" s="124"/>
      <c r="K11" s="124"/>
      <c r="L11" s="124"/>
    </row>
    <row r="12" spans="2:12" ht="126" customHeight="1" x14ac:dyDescent="0.25">
      <c r="B12" s="1272" t="s">
        <v>1209</v>
      </c>
      <c r="C12" s="1272"/>
      <c r="D12" s="1272"/>
      <c r="E12" s="1272"/>
      <c r="F12" s="1272"/>
      <c r="G12" s="1272"/>
      <c r="H12" s="1272"/>
      <c r="I12" s="1272"/>
      <c r="J12" s="1272"/>
      <c r="K12" s="1272"/>
      <c r="L12" s="1272"/>
    </row>
    <row r="13" spans="2:12" ht="6" customHeight="1" x14ac:dyDescent="0.25">
      <c r="B13" s="865"/>
      <c r="C13" s="865"/>
      <c r="D13" s="865"/>
      <c r="E13" s="865"/>
      <c r="F13" s="865"/>
      <c r="G13" s="865"/>
      <c r="H13" s="865"/>
      <c r="I13" s="865"/>
      <c r="J13" s="865"/>
      <c r="K13" s="865"/>
      <c r="L13" s="865"/>
    </row>
    <row r="14" spans="2:12" ht="86.25" customHeight="1" x14ac:dyDescent="0.25">
      <c r="B14" s="1276" t="s">
        <v>1295</v>
      </c>
      <c r="C14" s="1276"/>
      <c r="D14" s="1276"/>
      <c r="E14" s="1276"/>
      <c r="F14" s="1276"/>
      <c r="G14" s="1276"/>
      <c r="H14" s="1276"/>
      <c r="I14" s="1276"/>
      <c r="J14" s="1276"/>
      <c r="K14" s="1276"/>
      <c r="L14" s="1276"/>
    </row>
    <row r="15" spans="2:12" ht="6.75" customHeight="1" x14ac:dyDescent="0.25">
      <c r="B15" s="865"/>
      <c r="C15" s="865"/>
      <c r="D15" s="865"/>
      <c r="E15" s="865"/>
      <c r="F15" s="865"/>
      <c r="G15" s="865"/>
      <c r="H15" s="865"/>
      <c r="I15" s="865"/>
      <c r="J15" s="865"/>
      <c r="K15" s="865"/>
      <c r="L15" s="865"/>
    </row>
    <row r="16" spans="2:12" ht="65.25" customHeight="1" x14ac:dyDescent="0.25">
      <c r="B16" s="1265" t="s">
        <v>1292</v>
      </c>
      <c r="C16" s="1266"/>
      <c r="D16" s="1266"/>
      <c r="E16" s="1266"/>
      <c r="F16" s="1266"/>
      <c r="G16" s="1266"/>
      <c r="H16" s="1266"/>
      <c r="I16" s="1266"/>
      <c r="J16" s="1266"/>
      <c r="K16" s="1266"/>
      <c r="L16" s="1266"/>
    </row>
    <row r="17" spans="2:12" ht="6.75" customHeight="1" x14ac:dyDescent="0.25">
      <c r="B17" s="865"/>
      <c r="C17" s="214"/>
      <c r="D17" s="214"/>
      <c r="E17" s="214"/>
      <c r="F17" s="214"/>
      <c r="G17" s="214"/>
      <c r="H17" s="214"/>
      <c r="I17" s="214"/>
      <c r="J17" s="214"/>
      <c r="K17" s="214"/>
      <c r="L17" s="214"/>
    </row>
    <row r="18" spans="2:12" ht="49.5" customHeight="1" x14ac:dyDescent="0.25">
      <c r="B18" s="1261" t="s">
        <v>1245</v>
      </c>
      <c r="C18" s="1267"/>
      <c r="D18" s="1267"/>
      <c r="E18" s="1267"/>
      <c r="F18" s="1267"/>
      <c r="G18" s="1267"/>
      <c r="H18" s="1267"/>
      <c r="I18" s="1267"/>
      <c r="J18" s="1267"/>
      <c r="K18" s="1267"/>
      <c r="L18" s="1267"/>
    </row>
    <row r="19" spans="2:12" ht="6" customHeight="1" x14ac:dyDescent="0.25">
      <c r="B19" s="865"/>
      <c r="C19" s="865"/>
      <c r="D19" s="865"/>
      <c r="E19" s="865"/>
      <c r="F19" s="865"/>
      <c r="G19" s="865"/>
      <c r="H19" s="865"/>
      <c r="I19" s="865"/>
      <c r="J19" s="865"/>
      <c r="K19" s="865"/>
      <c r="L19" s="865"/>
    </row>
    <row r="20" spans="2:12" ht="51.75" customHeight="1" x14ac:dyDescent="0.25">
      <c r="B20" s="1262" t="s">
        <v>1200</v>
      </c>
      <c r="C20" s="1263"/>
      <c r="D20" s="1263"/>
      <c r="E20" s="1263"/>
      <c r="F20" s="1263"/>
      <c r="G20" s="1263"/>
      <c r="H20" s="1263"/>
      <c r="I20" s="1263"/>
      <c r="J20" s="1263"/>
      <c r="K20" s="1263"/>
      <c r="L20" s="1263"/>
    </row>
    <row r="21" spans="2:12" ht="9" customHeight="1" x14ac:dyDescent="0.25">
      <c r="B21" s="610"/>
      <c r="C21" s="610"/>
      <c r="D21" s="610"/>
      <c r="E21" s="610"/>
      <c r="F21" s="610"/>
      <c r="G21" s="610"/>
      <c r="H21" s="610"/>
      <c r="I21" s="610"/>
      <c r="J21" s="610"/>
      <c r="K21" s="610"/>
      <c r="L21" s="610"/>
    </row>
    <row r="22" spans="2:12" ht="47.25" customHeight="1" x14ac:dyDescent="0.25">
      <c r="B22" s="1264" t="s">
        <v>1210</v>
      </c>
      <c r="C22" s="1264"/>
      <c r="D22" s="1264"/>
      <c r="E22" s="1264"/>
      <c r="F22" s="1264"/>
      <c r="G22" s="1264"/>
      <c r="H22" s="1264"/>
      <c r="I22" s="1264"/>
      <c r="J22" s="1264"/>
      <c r="K22" s="1264"/>
      <c r="L22" s="1264"/>
    </row>
    <row r="23" spans="2:12" ht="9" customHeight="1" x14ac:dyDescent="0.25">
      <c r="B23" s="149"/>
      <c r="C23" s="124"/>
      <c r="D23" s="124"/>
      <c r="E23" s="124"/>
      <c r="F23" s="124"/>
      <c r="G23" s="124"/>
      <c r="H23" s="124"/>
      <c r="I23" s="124"/>
      <c r="J23" s="124"/>
      <c r="K23" s="124"/>
      <c r="L23" s="124"/>
    </row>
    <row r="24" spans="2:12" ht="134.25" customHeight="1" x14ac:dyDescent="0.25">
      <c r="B24" s="1261" t="s">
        <v>1211</v>
      </c>
      <c r="C24" s="1261"/>
      <c r="D24" s="1261"/>
      <c r="E24" s="1261"/>
      <c r="F24" s="1261"/>
      <c r="G24" s="1261"/>
      <c r="H24" s="1261"/>
      <c r="I24" s="1261"/>
      <c r="J24" s="1261"/>
      <c r="K24" s="1261"/>
      <c r="L24" s="1261"/>
    </row>
    <row r="25" spans="2:12" ht="4.5" customHeight="1" x14ac:dyDescent="0.25">
      <c r="B25" s="149"/>
      <c r="C25" s="124"/>
      <c r="D25" s="124"/>
      <c r="E25" s="124"/>
      <c r="F25" s="124"/>
      <c r="G25" s="124"/>
      <c r="H25" s="124"/>
      <c r="I25" s="124"/>
      <c r="J25" s="124"/>
      <c r="K25" s="124"/>
      <c r="L25" s="124"/>
    </row>
    <row r="26" spans="2:12" ht="50.25" customHeight="1" x14ac:dyDescent="0.25">
      <c r="B26" s="1261" t="s">
        <v>707</v>
      </c>
      <c r="C26" s="1261"/>
      <c r="D26" s="1261"/>
      <c r="E26" s="1261"/>
      <c r="F26" s="1261"/>
      <c r="G26" s="1261"/>
      <c r="H26" s="1261"/>
      <c r="I26" s="1261"/>
      <c r="J26" s="1261"/>
      <c r="K26" s="1261"/>
      <c r="L26" s="1261"/>
    </row>
    <row r="27" spans="2:12" ht="5.25" customHeight="1" x14ac:dyDescent="0.25">
      <c r="B27" s="149"/>
      <c r="C27" s="124"/>
      <c r="D27" s="124"/>
      <c r="E27" s="124"/>
      <c r="F27" s="124"/>
      <c r="G27" s="124"/>
      <c r="H27" s="124"/>
      <c r="I27" s="124"/>
      <c r="J27" s="124"/>
      <c r="K27" s="124"/>
      <c r="L27" s="124"/>
    </row>
    <row r="28" spans="2:12" ht="72.75" customHeight="1" x14ac:dyDescent="0.25">
      <c r="B28" s="1261" t="s">
        <v>1212</v>
      </c>
      <c r="C28" s="1261"/>
      <c r="D28" s="1261"/>
      <c r="E28" s="1261"/>
      <c r="F28" s="1261"/>
      <c r="G28" s="1261"/>
      <c r="H28" s="1261"/>
      <c r="I28" s="1261"/>
      <c r="J28" s="1261"/>
      <c r="K28" s="1261"/>
      <c r="L28" s="1261"/>
    </row>
    <row r="29" spans="2:12" ht="7.5" customHeight="1" x14ac:dyDescent="0.25">
      <c r="B29" s="149"/>
      <c r="C29" s="124"/>
      <c r="D29" s="124"/>
      <c r="E29" s="124"/>
      <c r="F29" s="124"/>
      <c r="G29" s="124"/>
      <c r="H29" s="124"/>
      <c r="I29" s="124"/>
      <c r="J29" s="124"/>
      <c r="K29" s="124"/>
      <c r="L29" s="124"/>
    </row>
    <row r="30" spans="2:12" ht="48" customHeight="1" x14ac:dyDescent="0.25">
      <c r="B30" s="1261" t="s">
        <v>1213</v>
      </c>
      <c r="C30" s="1261"/>
      <c r="D30" s="1261"/>
      <c r="E30" s="1261"/>
      <c r="F30" s="1261"/>
      <c r="G30" s="1261"/>
      <c r="H30" s="1261"/>
      <c r="I30" s="1261"/>
      <c r="J30" s="1261"/>
      <c r="K30" s="1261"/>
      <c r="L30" s="1261"/>
    </row>
    <row r="31" spans="2:12" ht="10.5" customHeight="1" x14ac:dyDescent="0.25">
      <c r="B31" s="149"/>
      <c r="C31" s="124"/>
      <c r="D31" s="124"/>
      <c r="E31" s="124"/>
      <c r="F31" s="124"/>
      <c r="G31" s="124"/>
      <c r="H31" s="124"/>
      <c r="I31" s="124"/>
      <c r="J31" s="124"/>
      <c r="K31" s="124"/>
      <c r="L31" s="124"/>
    </row>
    <row r="32" spans="2:12" ht="18.75" customHeight="1" x14ac:dyDescent="0.25">
      <c r="B32" s="1261" t="s">
        <v>544</v>
      </c>
      <c r="C32" s="1267"/>
      <c r="D32" s="1267"/>
      <c r="E32" s="1267"/>
      <c r="F32" s="1267"/>
      <c r="G32" s="1267"/>
      <c r="H32" s="1267"/>
      <c r="I32" s="1267"/>
      <c r="J32" s="1267"/>
      <c r="K32" s="1267"/>
      <c r="L32" s="1267"/>
    </row>
    <row r="33" spans="2:12" ht="16.5" customHeight="1" x14ac:dyDescent="0.25">
      <c r="B33" s="1261" t="s">
        <v>265</v>
      </c>
      <c r="C33" s="1267"/>
      <c r="D33" s="1267"/>
      <c r="E33" s="1267"/>
      <c r="F33" s="1267"/>
      <c r="G33" s="1267"/>
      <c r="H33" s="1267"/>
      <c r="I33" s="1267"/>
      <c r="J33" s="1267"/>
      <c r="K33" s="1267"/>
      <c r="L33" s="1267"/>
    </row>
    <row r="34" spans="2:12" ht="16.5" customHeight="1" x14ac:dyDescent="0.25">
      <c r="B34" s="1261" t="s">
        <v>1203</v>
      </c>
      <c r="C34" s="1267"/>
      <c r="D34" s="1267"/>
      <c r="E34" s="1267"/>
      <c r="F34" s="1267"/>
      <c r="G34" s="1267"/>
      <c r="H34" s="1267"/>
      <c r="I34" s="1267"/>
      <c r="J34" s="1267"/>
      <c r="K34" s="1267"/>
      <c r="L34" s="1267"/>
    </row>
    <row r="35" spans="2:12" ht="9.75" customHeight="1" x14ac:dyDescent="0.25">
      <c r="B35" s="149"/>
      <c r="C35" s="124"/>
      <c r="D35" s="124"/>
      <c r="E35" s="124"/>
      <c r="F35" s="124"/>
      <c r="G35" s="124"/>
      <c r="H35" s="124"/>
      <c r="I35" s="124"/>
      <c r="J35" s="124"/>
      <c r="K35" s="124"/>
      <c r="L35" s="124"/>
    </row>
    <row r="36" spans="2:12" ht="125.25" customHeight="1" x14ac:dyDescent="0.25">
      <c r="B36" s="1267" t="s">
        <v>1204</v>
      </c>
      <c r="C36" s="1267"/>
      <c r="D36" s="1267"/>
      <c r="E36" s="1267"/>
      <c r="F36" s="1267"/>
      <c r="G36" s="1267"/>
      <c r="H36" s="1267"/>
      <c r="I36" s="1267"/>
      <c r="J36" s="1267"/>
      <c r="K36" s="1267"/>
      <c r="L36" s="1267"/>
    </row>
    <row r="37" spans="2:12" ht="6" customHeight="1" x14ac:dyDescent="0.25">
      <c r="B37" s="214"/>
      <c r="C37" s="214"/>
      <c r="D37" s="214"/>
      <c r="E37" s="214"/>
      <c r="F37" s="214"/>
      <c r="G37" s="214"/>
      <c r="H37" s="214"/>
      <c r="I37" s="214"/>
      <c r="J37" s="214"/>
      <c r="K37" s="214"/>
      <c r="L37" s="214"/>
    </row>
    <row r="38" spans="2:12" ht="15.75" customHeight="1" x14ac:dyDescent="0.25">
      <c r="B38" s="1270" t="s">
        <v>430</v>
      </c>
      <c r="C38" s="1270"/>
      <c r="D38" s="1270"/>
      <c r="E38" s="1270"/>
      <c r="F38" s="1270"/>
      <c r="G38" s="1270"/>
      <c r="H38" s="1270"/>
      <c r="I38" s="1270"/>
      <c r="J38" s="1267"/>
      <c r="K38" s="1267"/>
      <c r="L38" s="214"/>
    </row>
    <row r="39" spans="2:12" ht="16.5" customHeight="1" x14ac:dyDescent="0.25">
      <c r="B39" s="1273" t="s">
        <v>36</v>
      </c>
      <c r="C39" s="1274"/>
      <c r="D39" s="1267" t="s">
        <v>432</v>
      </c>
      <c r="E39" s="1267"/>
      <c r="F39" s="1267"/>
      <c r="G39" s="1267"/>
      <c r="H39" s="1267"/>
      <c r="I39" s="1267"/>
      <c r="J39" s="1267"/>
      <c r="K39" s="1267"/>
      <c r="L39" s="214"/>
    </row>
    <row r="40" spans="2:12" ht="16.5" customHeight="1" x14ac:dyDescent="0.25">
      <c r="B40" s="1275" t="s">
        <v>34</v>
      </c>
      <c r="C40" s="1274"/>
      <c r="D40" s="1267" t="s">
        <v>431</v>
      </c>
      <c r="E40" s="1267"/>
      <c r="F40" s="1267"/>
      <c r="G40" s="1267"/>
      <c r="H40" s="1267"/>
      <c r="I40" s="1267"/>
      <c r="J40" s="1267"/>
      <c r="K40" s="1267"/>
      <c r="L40" s="214"/>
    </row>
    <row r="41" spans="2:12" ht="4.5" customHeight="1" x14ac:dyDescent="0.25">
      <c r="B41" s="373"/>
      <c r="C41" s="284"/>
      <c r="D41" s="214"/>
      <c r="E41" s="214"/>
      <c r="F41" s="214"/>
      <c r="G41" s="214"/>
      <c r="H41" s="214"/>
      <c r="I41" s="214"/>
      <c r="J41" s="214"/>
      <c r="K41" s="214"/>
      <c r="L41" s="214"/>
    </row>
    <row r="42" spans="2:12" ht="15.75" customHeight="1" x14ac:dyDescent="0.25">
      <c r="B42" s="1270" t="s">
        <v>709</v>
      </c>
      <c r="C42" s="1271"/>
      <c r="D42" s="1271"/>
      <c r="E42" s="1271"/>
      <c r="F42" s="1271"/>
      <c r="G42" s="1271"/>
      <c r="H42" s="1271"/>
      <c r="I42" s="1271"/>
      <c r="J42" s="1271"/>
      <c r="K42" s="1271"/>
      <c r="L42" s="1271"/>
    </row>
    <row r="43" spans="2:12" ht="6" customHeight="1" x14ac:dyDescent="0.25">
      <c r="B43" s="80"/>
      <c r="L43" s="124"/>
    </row>
    <row r="44" spans="2:12" x14ac:dyDescent="0.25">
      <c r="B44" s="190" t="s">
        <v>353</v>
      </c>
    </row>
    <row r="45" spans="2:12" ht="5.25" customHeight="1" x14ac:dyDescent="0.25"/>
    <row r="46" spans="2:12" x14ac:dyDescent="0.25">
      <c r="B46" s="219" t="s">
        <v>397</v>
      </c>
    </row>
    <row r="47" spans="2:12" x14ac:dyDescent="0.25">
      <c r="B47" s="148" t="s">
        <v>399</v>
      </c>
    </row>
    <row r="48" spans="2:12" ht="4.5" customHeight="1" x14ac:dyDescent="0.25"/>
    <row r="49" spans="2:2" x14ac:dyDescent="0.25">
      <c r="B49" s="219" t="s">
        <v>398</v>
      </c>
    </row>
    <row r="50" spans="2:2" x14ac:dyDescent="0.25">
      <c r="B50" s="731" t="s">
        <v>1205</v>
      </c>
    </row>
  </sheetData>
  <sheetProtection sheet="1" formatColumns="0" formatRows="0" selectLockedCells="1"/>
  <mergeCells count="25">
    <mergeCell ref="B42:L42"/>
    <mergeCell ref="B12:L12"/>
    <mergeCell ref="D40:K40"/>
    <mergeCell ref="B36:L36"/>
    <mergeCell ref="B32:L32"/>
    <mergeCell ref="B33:L33"/>
    <mergeCell ref="B34:L34"/>
    <mergeCell ref="B38:I38"/>
    <mergeCell ref="J38:K38"/>
    <mergeCell ref="B39:C39"/>
    <mergeCell ref="B40:C40"/>
    <mergeCell ref="D39:K39"/>
    <mergeCell ref="B14:L14"/>
    <mergeCell ref="B30:L30"/>
    <mergeCell ref="B28:L28"/>
    <mergeCell ref="B4:E4"/>
    <mergeCell ref="B6:L6"/>
    <mergeCell ref="B8:L8"/>
    <mergeCell ref="B26:L26"/>
    <mergeCell ref="B24:L24"/>
    <mergeCell ref="B20:L20"/>
    <mergeCell ref="B22:L22"/>
    <mergeCell ref="B16:L16"/>
    <mergeCell ref="B18:L18"/>
    <mergeCell ref="B10:L10"/>
  </mergeCells>
  <hyperlinks>
    <hyperlink ref="B44" r:id="rId1" xr:uid="{00000000-0004-0000-0000-000000000000}"/>
    <hyperlink ref="B46" r:id="rId2" xr:uid="{00000000-0004-0000-0000-000001000000}"/>
    <hyperlink ref="B49" r:id="rId3" xr:uid="{00000000-0004-0000-0000-000002000000}"/>
  </hyperlinks>
  <pageMargins left="0.25" right="0.25" top="0.75" bottom="0.75" header="0.3" footer="0.3"/>
  <pageSetup paperSize="9" scale="61"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CO111"/>
  <sheetViews>
    <sheetView zoomScale="90" zoomScaleNormal="90" zoomScalePageLayoutView="60" workbookViewId="0">
      <selection activeCell="BS17" sqref="BS17"/>
    </sheetView>
  </sheetViews>
  <sheetFormatPr baseColWidth="10" defaultRowHeight="15" x14ac:dyDescent="0.25"/>
  <cols>
    <col min="1" max="1" width="19.5703125" style="112" customWidth="1"/>
    <col min="2" max="2" width="12.5703125" style="80" customWidth="1"/>
    <col min="3" max="3" width="40.7109375" style="80" customWidth="1"/>
    <col min="4" max="4" width="10.42578125" style="112" customWidth="1"/>
    <col min="5" max="5" width="11" style="80" customWidth="1"/>
    <col min="6" max="6" width="11.140625" style="80" customWidth="1"/>
    <col min="7" max="7" width="8.42578125" style="80" customWidth="1"/>
    <col min="8" max="8" width="10.140625" style="80" customWidth="1"/>
    <col min="9" max="9" width="13.42578125" style="80" customWidth="1"/>
    <col min="10" max="10" width="17.42578125" style="80" customWidth="1"/>
    <col min="11" max="11" width="6.28515625" style="80" customWidth="1"/>
    <col min="12" max="12" width="8.85546875" style="80" customWidth="1"/>
    <col min="13" max="13" width="4.85546875" style="80" customWidth="1"/>
    <col min="14" max="14" width="16.140625" style="80" customWidth="1"/>
    <col min="15" max="15" width="9.28515625" style="112" customWidth="1"/>
    <col min="16" max="16" width="10.7109375" style="241" customWidth="1"/>
    <col min="17" max="17" width="8.7109375" style="80" customWidth="1"/>
    <col min="18" max="18" width="9.140625" style="80" customWidth="1"/>
    <col min="19" max="19" width="2.28515625" style="80" customWidth="1"/>
    <col min="20" max="20" width="13.140625" style="80" customWidth="1"/>
    <col min="21" max="21" width="9.42578125" style="80" customWidth="1"/>
    <col min="22" max="22" width="12.5703125" style="80" customWidth="1"/>
    <col min="23" max="23" width="6.140625" style="80" customWidth="1"/>
    <col min="24" max="24" width="6.85546875" style="80" customWidth="1"/>
    <col min="25" max="26" width="7.42578125" style="80" customWidth="1"/>
    <col min="27" max="27" width="1.42578125" style="80" customWidth="1"/>
    <col min="28" max="28" width="9.5703125" style="80" customWidth="1"/>
    <col min="29" max="29" width="12.42578125" style="80" customWidth="1"/>
    <col min="30" max="30" width="7.28515625" style="80" customWidth="1"/>
    <col min="31" max="33" width="7" style="80" customWidth="1"/>
    <col min="34" max="34" width="1.42578125" style="80" customWidth="1"/>
    <col min="35" max="35" width="10" style="80" customWidth="1"/>
    <col min="36" max="36" width="12.7109375" style="80" customWidth="1"/>
    <col min="37" max="37" width="7.28515625" style="80" customWidth="1"/>
    <col min="38" max="40" width="6.85546875" style="80" customWidth="1"/>
    <col min="41" max="41" width="1.28515625" style="80" customWidth="1"/>
    <col min="42" max="47" width="3.28515625" style="80" customWidth="1"/>
    <col min="48" max="48" width="1.42578125" style="80" customWidth="1"/>
    <col min="49" max="54" width="3" style="80" customWidth="1"/>
    <col min="55" max="55" width="2.28515625" style="80" customWidth="1"/>
    <col min="56" max="56" width="7.42578125" style="80" customWidth="1"/>
    <col min="57" max="58" width="7.28515625" style="80" customWidth="1"/>
    <col min="59" max="59" width="8.28515625" style="80" customWidth="1"/>
    <col min="60" max="60" width="6.28515625" style="80" customWidth="1"/>
    <col min="61" max="61" width="3.140625" style="80" customWidth="1"/>
    <col min="62" max="62" width="7.28515625" style="80" customWidth="1"/>
    <col min="63" max="64" width="6.5703125" style="80" customWidth="1"/>
    <col min="65" max="65" width="7.7109375" style="80" customWidth="1"/>
    <col min="66" max="67" width="7" style="80" customWidth="1"/>
    <col min="68" max="68" width="2.28515625" style="80" customWidth="1"/>
    <col min="69" max="69" width="19.5703125" style="80" customWidth="1"/>
    <col min="70" max="70" width="8.28515625" style="80" bestFit="1" customWidth="1"/>
    <col min="71" max="71" width="19.42578125" style="80" customWidth="1"/>
    <col min="72" max="72" width="14.85546875" style="80" customWidth="1"/>
    <col min="73" max="73" width="7.85546875" style="80" customWidth="1"/>
    <col min="74" max="74" width="8.7109375" style="80" customWidth="1"/>
    <col min="75" max="76" width="8.28515625" style="80" customWidth="1"/>
    <col min="77" max="77" width="19.42578125" style="80" customWidth="1"/>
    <col min="78" max="78" width="14.85546875" style="80" customWidth="1"/>
    <col min="79" max="79" width="8.28515625" style="80" customWidth="1"/>
    <col min="80" max="80" width="7.42578125" style="80" customWidth="1"/>
    <col min="81" max="81" width="8.28515625" style="80" customWidth="1"/>
    <col min="82" max="82" width="8.7109375" style="80" customWidth="1"/>
    <col min="83" max="83" width="15.85546875" style="80" customWidth="1"/>
    <col min="84" max="84" width="11.140625" style="80" customWidth="1"/>
    <col min="85" max="85" width="8.140625" style="80" customWidth="1"/>
    <col min="86" max="86" width="6.85546875" style="80" customWidth="1"/>
    <col min="87" max="88" width="8.28515625" style="80" customWidth="1"/>
    <col min="89" max="89" width="31" style="80" customWidth="1"/>
    <col min="90" max="90" width="9.28515625" style="80" customWidth="1"/>
    <col min="91" max="91" width="29.5703125" style="80" customWidth="1"/>
    <col min="92" max="16384" width="11.42578125" style="80"/>
  </cols>
  <sheetData>
    <row r="1" spans="1:93" ht="15.75" customHeight="1" x14ac:dyDescent="0.25">
      <c r="A1" s="1370" t="s">
        <v>1156</v>
      </c>
      <c r="B1" s="1371"/>
      <c r="C1" s="112" t="str">
        <f>'DüV-N-Ackerbau (1)'!C1</f>
        <v>Testbetrieb</v>
      </c>
      <c r="D1" s="374"/>
      <c r="E1" s="112" t="str">
        <f>'DüV-N-Ackerbau (1)'!F1</f>
        <v>Erntejahr</v>
      </c>
      <c r="F1" s="374"/>
      <c r="G1" s="448"/>
      <c r="H1" s="1352" t="s">
        <v>34</v>
      </c>
      <c r="I1" s="1353"/>
      <c r="J1" s="448"/>
      <c r="K1" s="448"/>
      <c r="L1" s="448"/>
      <c r="M1" s="448"/>
      <c r="N1" s="448"/>
      <c r="O1" s="1372" t="s">
        <v>1157</v>
      </c>
      <c r="P1" s="1372"/>
      <c r="Q1" s="448"/>
      <c r="R1" s="449"/>
      <c r="T1" s="1444" t="s">
        <v>1156</v>
      </c>
      <c r="U1" s="1445"/>
      <c r="V1" s="1448" t="s">
        <v>1206</v>
      </c>
      <c r="W1" s="1448"/>
      <c r="X1" s="1448"/>
      <c r="Y1" s="1448"/>
      <c r="Z1" s="1448"/>
      <c r="AA1" s="1448"/>
      <c r="AB1" s="1449"/>
      <c r="AC1" s="1449"/>
      <c r="AD1" s="1449"/>
      <c r="AE1" s="1449"/>
      <c r="AF1" s="1449"/>
      <c r="AG1" s="1449"/>
      <c r="AH1" s="1449"/>
      <c r="AI1" s="1450"/>
      <c r="AJ1" s="1450"/>
      <c r="AK1" s="1450"/>
      <c r="AL1" s="1450"/>
      <c r="AM1" s="1450"/>
      <c r="AN1" s="1450"/>
      <c r="AO1" s="1450"/>
      <c r="AP1" s="1450"/>
      <c r="AQ1" s="1450"/>
      <c r="AR1" s="1450"/>
      <c r="AS1" s="1450"/>
      <c r="AT1" s="1450"/>
      <c r="AU1" s="1450"/>
      <c r="AV1" s="1450"/>
      <c r="AW1" s="1450"/>
      <c r="AX1" s="1450"/>
      <c r="AY1" s="1450"/>
      <c r="AZ1" s="1450"/>
      <c r="BA1" s="1450"/>
      <c r="BB1" s="1451"/>
      <c r="BC1" s="659"/>
      <c r="BD1" s="1378" t="s">
        <v>1170</v>
      </c>
      <c r="BE1" s="1379"/>
      <c r="BF1" s="1379"/>
      <c r="BG1" s="1379"/>
      <c r="BH1" s="1379"/>
      <c r="BI1" s="1379"/>
      <c r="BJ1" s="1379"/>
      <c r="BK1" s="1379"/>
      <c r="BL1" s="1379"/>
      <c r="BM1" s="1379"/>
      <c r="BN1" s="1380"/>
    </row>
    <row r="2" spans="1:93" ht="28.5" customHeight="1" x14ac:dyDescent="0.25">
      <c r="A2" s="1371"/>
      <c r="B2" s="1371"/>
      <c r="C2" s="112">
        <f>'DüV-N-Ackerbau (1)'!C2</f>
        <v>1</v>
      </c>
      <c r="D2" s="15"/>
      <c r="E2" s="112">
        <f>'DüV-N-Ackerbau (1)'!G1</f>
        <v>2022</v>
      </c>
      <c r="F2" s="15"/>
      <c r="G2" s="112"/>
      <c r="H2" s="1356" t="s">
        <v>36</v>
      </c>
      <c r="I2" s="1336"/>
      <c r="O2" s="1372"/>
      <c r="P2" s="1372"/>
      <c r="R2" s="503"/>
      <c r="T2" s="1446"/>
      <c r="U2" s="1447"/>
      <c r="V2" s="1373"/>
      <c r="W2" s="1373"/>
      <c r="X2" s="1373"/>
      <c r="Y2" s="1373"/>
      <c r="Z2" s="1373"/>
      <c r="AA2" s="1373"/>
      <c r="AB2" s="1374"/>
      <c r="AC2" s="1374"/>
      <c r="AD2" s="1374"/>
      <c r="AE2" s="1374"/>
      <c r="AF2" s="1374"/>
      <c r="AG2" s="1374"/>
      <c r="AH2" s="1374"/>
      <c r="AI2" s="1375"/>
      <c r="AJ2" s="1375"/>
      <c r="AK2" s="1375"/>
      <c r="AL2" s="1375"/>
      <c r="AM2" s="1375"/>
      <c r="AN2" s="1375"/>
      <c r="AO2" s="1375"/>
      <c r="AP2" s="1375"/>
      <c r="AQ2" s="1375"/>
      <c r="AR2" s="1375"/>
      <c r="AS2" s="1375"/>
      <c r="AT2" s="1375"/>
      <c r="AU2" s="1375"/>
      <c r="AV2" s="1375"/>
      <c r="AW2" s="1375"/>
      <c r="AX2" s="1375"/>
      <c r="AY2" s="1375"/>
      <c r="AZ2" s="1375"/>
      <c r="BA2" s="1375"/>
      <c r="BB2" s="1452"/>
      <c r="BC2" s="659"/>
      <c r="BD2" s="1343"/>
      <c r="BE2" s="1293"/>
      <c r="BF2" s="1293"/>
      <c r="BG2" s="1293"/>
      <c r="BH2" s="1293"/>
      <c r="BI2" s="1293"/>
      <c r="BJ2" s="1293"/>
      <c r="BK2" s="1293"/>
      <c r="BL2" s="1293"/>
      <c r="BM2" s="1293"/>
      <c r="BN2" s="1344"/>
    </row>
    <row r="3" spans="1:93" ht="17.25" customHeight="1" thickBot="1" x14ac:dyDescent="0.3">
      <c r="A3" s="1371"/>
      <c r="B3" s="1371"/>
      <c r="C3" s="112">
        <f>'DüV-N-Ackerbau (1)'!C3</f>
        <v>123456</v>
      </c>
      <c r="D3" s="15"/>
      <c r="E3" s="15"/>
      <c r="F3" s="15"/>
      <c r="O3" s="1372"/>
      <c r="P3" s="1372"/>
      <c r="R3" s="503"/>
      <c r="T3" s="1446"/>
      <c r="U3" s="1447"/>
      <c r="V3" s="1373"/>
      <c r="W3" s="1373"/>
      <c r="X3" s="1373"/>
      <c r="Y3" s="1373"/>
      <c r="Z3" s="1373"/>
      <c r="AA3" s="1373"/>
      <c r="AB3" s="1374"/>
      <c r="AC3" s="1374"/>
      <c r="AD3" s="1374"/>
      <c r="AE3" s="1374"/>
      <c r="AF3" s="1374"/>
      <c r="AG3" s="1374"/>
      <c r="AH3" s="1374"/>
      <c r="AI3" s="1375"/>
      <c r="AJ3" s="1375"/>
      <c r="AK3" s="1375"/>
      <c r="AL3" s="1375"/>
      <c r="AM3" s="1375"/>
      <c r="AN3" s="1375"/>
      <c r="AO3" s="1375"/>
      <c r="AP3" s="1375"/>
      <c r="AQ3" s="1375"/>
      <c r="AR3" s="1375"/>
      <c r="AS3" s="1375"/>
      <c r="AT3" s="1375"/>
      <c r="AU3" s="1375"/>
      <c r="AV3" s="1375"/>
      <c r="AW3" s="1375"/>
      <c r="AX3" s="1375"/>
      <c r="AY3" s="1375"/>
      <c r="AZ3" s="1375"/>
      <c r="BA3" s="1375"/>
      <c r="BB3" s="1452"/>
      <c r="BC3" s="659"/>
      <c r="BD3" s="1343"/>
      <c r="BE3" s="1293"/>
      <c r="BF3" s="1293"/>
      <c r="BG3" s="1293"/>
      <c r="BH3" s="1293"/>
      <c r="BI3" s="1293"/>
      <c r="BJ3" s="1293"/>
      <c r="BK3" s="1293"/>
      <c r="BL3" s="1293"/>
      <c r="BM3" s="1293"/>
      <c r="BN3" s="1344"/>
    </row>
    <row r="4" spans="1:93" ht="32.25" customHeight="1" thickBot="1" x14ac:dyDescent="0.3">
      <c r="A4" s="1397" t="s">
        <v>1217</v>
      </c>
      <c r="B4" s="1398"/>
      <c r="C4" s="1398"/>
      <c r="D4" s="1398"/>
      <c r="E4" s="1398"/>
      <c r="F4" s="1398"/>
      <c r="G4" s="1398"/>
      <c r="H4" s="1398"/>
      <c r="I4" s="1398"/>
      <c r="J4" s="1398"/>
      <c r="K4" s="1398"/>
      <c r="L4" s="1398"/>
      <c r="M4" s="1398"/>
      <c r="N4" s="1398"/>
      <c r="O4" s="1398"/>
      <c r="P4" s="1398"/>
      <c r="Q4" s="1398"/>
      <c r="R4" s="1427"/>
      <c r="S4" s="400"/>
      <c r="T4" s="1442" t="s">
        <v>1164</v>
      </c>
      <c r="U4" s="1281"/>
      <c r="V4" s="1281"/>
      <c r="W4" s="1281"/>
      <c r="X4" s="1281"/>
      <c r="Y4" s="1281"/>
      <c r="Z4" s="1281"/>
      <c r="AA4" s="1281"/>
      <c r="AB4" s="1281"/>
      <c r="AC4" s="1281"/>
      <c r="AD4" s="1281"/>
      <c r="AE4" s="1281"/>
      <c r="AF4" s="1281"/>
      <c r="AG4" s="1281"/>
      <c r="AH4" s="1281"/>
      <c r="AI4" s="1281"/>
      <c r="AJ4" s="1281"/>
      <c r="AK4" s="1281"/>
      <c r="AL4" s="1281"/>
      <c r="AM4" s="1281"/>
      <c r="AN4" s="1281"/>
      <c r="AO4" s="1281"/>
      <c r="AP4" s="1281"/>
      <c r="AQ4" s="1281"/>
      <c r="AR4" s="1281"/>
      <c r="AS4" s="1281"/>
      <c r="AT4" s="1281"/>
      <c r="AU4" s="1281"/>
      <c r="AV4" s="1281"/>
      <c r="AW4" s="1281"/>
      <c r="AX4" s="1281"/>
      <c r="AY4" s="1281"/>
      <c r="AZ4" s="1281"/>
      <c r="BA4" s="1281"/>
      <c r="BB4" s="1443"/>
      <c r="BC4" s="123"/>
      <c r="BD4" s="1345"/>
      <c r="BE4" s="1381"/>
      <c r="BF4" s="1381"/>
      <c r="BG4" s="1381"/>
      <c r="BH4" s="1381"/>
      <c r="BI4" s="1381"/>
      <c r="BJ4" s="1381"/>
      <c r="BK4" s="1381"/>
      <c r="BL4" s="1381"/>
      <c r="BM4" s="1381"/>
      <c r="BN4" s="1346"/>
      <c r="CJ4" s="487"/>
      <c r="CK4" s="488"/>
      <c r="CM4" s="378"/>
      <c r="CN4" s="355" t="s">
        <v>5</v>
      </c>
    </row>
    <row r="5" spans="1:93" s="124" customFormat="1" ht="19.5" customHeight="1" thickBot="1" x14ac:dyDescent="0.3">
      <c r="A5" s="1308" t="s">
        <v>1165</v>
      </c>
      <c r="B5" s="1401"/>
      <c r="C5" s="1401"/>
      <c r="D5" s="1401"/>
      <c r="E5" s="1401"/>
      <c r="F5" s="1401"/>
      <c r="G5" s="1401"/>
      <c r="H5" s="1401"/>
      <c r="I5" s="1401"/>
      <c r="J5" s="1401"/>
      <c r="K5" s="1401"/>
      <c r="L5" s="1401"/>
      <c r="M5" s="1401"/>
      <c r="N5" s="1401"/>
      <c r="O5" s="1401"/>
      <c r="P5" s="1401"/>
      <c r="Q5" s="1401"/>
      <c r="R5" s="1309"/>
      <c r="S5" s="724"/>
      <c r="T5" s="1418" t="s">
        <v>1033</v>
      </c>
      <c r="U5" s="1286"/>
      <c r="V5" s="1286"/>
      <c r="W5" s="1286"/>
      <c r="X5" s="1286"/>
      <c r="Y5" s="1286"/>
      <c r="Z5" s="1286"/>
      <c r="AA5" s="1286"/>
      <c r="AB5" s="1286"/>
      <c r="AC5" s="1286"/>
      <c r="AD5" s="1286"/>
      <c r="AE5" s="1286"/>
      <c r="AF5" s="1286"/>
      <c r="AG5" s="1286"/>
      <c r="AH5" s="1286"/>
      <c r="AI5" s="1286"/>
      <c r="AJ5" s="1286"/>
      <c r="AK5" s="1286"/>
      <c r="AL5" s="1286"/>
      <c r="AM5" s="1286"/>
      <c r="AN5" s="1286"/>
      <c r="AO5" s="1286"/>
      <c r="AP5" s="1286"/>
      <c r="AQ5" s="1286"/>
      <c r="AR5" s="1286"/>
      <c r="AS5" s="1286"/>
      <c r="AT5" s="1286"/>
      <c r="AU5" s="1286"/>
      <c r="AV5" s="1286"/>
      <c r="AW5" s="1286"/>
      <c r="AX5" s="1286"/>
      <c r="AY5" s="1286"/>
      <c r="AZ5" s="1286"/>
      <c r="BA5" s="1286"/>
      <c r="BB5" s="1419"/>
      <c r="BC5" s="341"/>
      <c r="BD5" s="1402" t="s">
        <v>1081</v>
      </c>
      <c r="BE5" s="1396"/>
      <c r="BF5" s="1396"/>
      <c r="BG5" s="1396"/>
      <c r="BH5" s="1396"/>
      <c r="BI5" s="181"/>
      <c r="BJ5" s="1287" t="s">
        <v>1092</v>
      </c>
      <c r="BK5" s="1424"/>
      <c r="BL5" s="1424"/>
      <c r="BM5" s="1424"/>
      <c r="BN5" s="1424"/>
      <c r="BO5" s="123"/>
      <c r="BP5" s="123"/>
      <c r="BQ5" s="1397" t="s">
        <v>1044</v>
      </c>
      <c r="BR5" s="1437"/>
      <c r="BS5" s="1397" t="s">
        <v>1093</v>
      </c>
      <c r="BT5" s="1438"/>
      <c r="BU5" s="1439"/>
      <c r="BV5" s="1439"/>
      <c r="BW5" s="1439"/>
      <c r="BX5" s="1440"/>
      <c r="BY5" s="1397" t="s">
        <v>1094</v>
      </c>
      <c r="BZ5" s="1437"/>
      <c r="CA5" s="1437"/>
      <c r="CB5" s="1437"/>
      <c r="CC5" s="1437"/>
      <c r="CD5" s="1441"/>
      <c r="CE5" s="1397" t="s">
        <v>1095</v>
      </c>
      <c r="CF5" s="1437"/>
      <c r="CG5" s="1437"/>
      <c r="CH5" s="1437"/>
      <c r="CI5" s="1437"/>
      <c r="CJ5" s="1441"/>
      <c r="CK5" s="114"/>
      <c r="CL5" s="80"/>
      <c r="CM5" s="355" t="s">
        <v>79</v>
      </c>
      <c r="CN5" s="354"/>
      <c r="CO5" s="80"/>
    </row>
    <row r="6" spans="1:93" ht="23.25" customHeight="1" thickBot="1" x14ac:dyDescent="0.3">
      <c r="A6" s="1363" t="s">
        <v>1091</v>
      </c>
      <c r="B6" s="1406" t="s">
        <v>570</v>
      </c>
      <c r="C6" s="1408" t="s">
        <v>745</v>
      </c>
      <c r="D6" s="1430" t="s">
        <v>1182</v>
      </c>
      <c r="E6" s="1431"/>
      <c r="F6" s="1432"/>
      <c r="G6" s="1433" t="s">
        <v>302</v>
      </c>
      <c r="H6" s="1425"/>
      <c r="I6" s="1434"/>
      <c r="J6" s="1305" t="s">
        <v>250</v>
      </c>
      <c r="K6" s="1383" t="s">
        <v>163</v>
      </c>
      <c r="L6" s="1408" t="s">
        <v>607</v>
      </c>
      <c r="M6" s="1436" t="s">
        <v>163</v>
      </c>
      <c r="N6" s="1416" t="s">
        <v>243</v>
      </c>
      <c r="O6" s="1316" t="s">
        <v>1028</v>
      </c>
      <c r="P6" s="1417"/>
      <c r="Q6" s="1393" t="s">
        <v>1151</v>
      </c>
      <c r="R6" s="1394"/>
      <c r="S6" s="519"/>
      <c r="T6" s="1420" t="s">
        <v>1152</v>
      </c>
      <c r="U6" s="1392" t="s">
        <v>828</v>
      </c>
      <c r="V6" s="1381"/>
      <c r="W6" s="1381"/>
      <c r="X6" s="1381"/>
      <c r="Y6" s="1381"/>
      <c r="Z6" s="1346"/>
      <c r="AA6" s="400"/>
      <c r="AB6" s="1392" t="s">
        <v>851</v>
      </c>
      <c r="AC6" s="1381"/>
      <c r="AD6" s="1381"/>
      <c r="AE6" s="1381"/>
      <c r="AF6" s="1381"/>
      <c r="AG6" s="1346"/>
      <c r="AH6" s="400"/>
      <c r="AI6" s="1392" t="s">
        <v>852</v>
      </c>
      <c r="AJ6" s="1381"/>
      <c r="AK6" s="1381"/>
      <c r="AL6" s="1381"/>
      <c r="AM6" s="1381"/>
      <c r="AN6" s="1346"/>
      <c r="AO6" s="400"/>
      <c r="AP6" s="1392" t="s">
        <v>853</v>
      </c>
      <c r="AQ6" s="1381"/>
      <c r="AR6" s="1381"/>
      <c r="AS6" s="1381"/>
      <c r="AT6" s="1381"/>
      <c r="AU6" s="1346"/>
      <c r="AV6" s="400"/>
      <c r="AW6" s="1392" t="s">
        <v>854</v>
      </c>
      <c r="AX6" s="1381"/>
      <c r="AY6" s="1381"/>
      <c r="AZ6" s="1381"/>
      <c r="BA6" s="1381"/>
      <c r="BB6" s="1422"/>
      <c r="BC6" s="400"/>
      <c r="BD6" s="1286"/>
      <c r="BE6" s="1286"/>
      <c r="BF6" s="1286"/>
      <c r="BG6" s="1286"/>
      <c r="BH6" s="1286"/>
      <c r="BI6" s="400"/>
      <c r="BJ6" s="1281"/>
      <c r="BK6" s="1281"/>
      <c r="BL6" s="1281"/>
      <c r="BM6" s="1281"/>
      <c r="BN6" s="1281"/>
      <c r="BO6" s="123"/>
      <c r="BP6" s="123"/>
      <c r="BQ6" s="123"/>
      <c r="BR6" s="123"/>
      <c r="BS6" s="123"/>
      <c r="BT6" s="123"/>
      <c r="BU6" s="123"/>
      <c r="BV6" s="123"/>
      <c r="BW6" s="123"/>
      <c r="BX6" s="123"/>
      <c r="BY6" s="123"/>
      <c r="BZ6" s="123"/>
      <c r="CA6" s="123"/>
      <c r="CB6" s="123"/>
      <c r="CC6" s="123"/>
      <c r="CD6" s="123"/>
      <c r="CE6" s="123"/>
      <c r="CF6" s="123"/>
      <c r="CG6" s="123"/>
      <c r="CH6" s="123"/>
      <c r="CI6" s="123"/>
      <c r="CJ6" s="123"/>
      <c r="CK6" s="490"/>
      <c r="CM6" s="378" t="s">
        <v>240</v>
      </c>
      <c r="CN6" s="354">
        <v>10</v>
      </c>
    </row>
    <row r="7" spans="1:93" ht="65.25" customHeight="1" thickBot="1" x14ac:dyDescent="0.3">
      <c r="A7" s="1364"/>
      <c r="B7" s="1407"/>
      <c r="C7" s="1304"/>
      <c r="D7" s="415" t="s">
        <v>300</v>
      </c>
      <c r="E7" s="377" t="s">
        <v>351</v>
      </c>
      <c r="F7" s="416" t="s">
        <v>352</v>
      </c>
      <c r="G7" s="403" t="s">
        <v>85</v>
      </c>
      <c r="H7" s="402" t="s">
        <v>307</v>
      </c>
      <c r="I7" s="419" t="s">
        <v>305</v>
      </c>
      <c r="J7" s="1435"/>
      <c r="K7" s="1283"/>
      <c r="L7" s="1304"/>
      <c r="M7" s="1298"/>
      <c r="N7" s="1285"/>
      <c r="O7" s="581" t="s">
        <v>328</v>
      </c>
      <c r="P7" s="500" t="s">
        <v>612</v>
      </c>
      <c r="Q7" s="486" t="s">
        <v>605</v>
      </c>
      <c r="R7" s="483" t="s">
        <v>612</v>
      </c>
      <c r="S7" s="723"/>
      <c r="T7" s="1421"/>
      <c r="U7" s="745" t="s">
        <v>850</v>
      </c>
      <c r="V7" s="744" t="s">
        <v>830</v>
      </c>
      <c r="W7" s="681" t="s">
        <v>33</v>
      </c>
      <c r="X7" s="312" t="s">
        <v>1078</v>
      </c>
      <c r="Y7" s="681" t="s">
        <v>1079</v>
      </c>
      <c r="Z7" s="312" t="s">
        <v>1080</v>
      </c>
      <c r="AA7" s="519"/>
      <c r="AB7" s="745" t="s">
        <v>850</v>
      </c>
      <c r="AC7" s="744" t="s">
        <v>830</v>
      </c>
      <c r="AD7" s="681" t="s">
        <v>33</v>
      </c>
      <c r="AE7" s="312" t="s">
        <v>1078</v>
      </c>
      <c r="AF7" s="681" t="s">
        <v>1079</v>
      </c>
      <c r="AG7" s="312" t="s">
        <v>1080</v>
      </c>
      <c r="AH7" s="519"/>
      <c r="AI7" s="745" t="s">
        <v>850</v>
      </c>
      <c r="AJ7" s="744" t="s">
        <v>830</v>
      </c>
      <c r="AK7" s="681" t="s">
        <v>33</v>
      </c>
      <c r="AL7" s="312" t="s">
        <v>1078</v>
      </c>
      <c r="AM7" s="681" t="s">
        <v>1079</v>
      </c>
      <c r="AN7" s="312" t="s">
        <v>1080</v>
      </c>
      <c r="AO7" s="519"/>
      <c r="AP7" s="745" t="s">
        <v>850</v>
      </c>
      <c r="AQ7" s="744" t="s">
        <v>830</v>
      </c>
      <c r="AR7" s="681" t="s">
        <v>33</v>
      </c>
      <c r="AS7" s="312" t="s">
        <v>1078</v>
      </c>
      <c r="AT7" s="681" t="s">
        <v>1079</v>
      </c>
      <c r="AU7" s="312" t="s">
        <v>1080</v>
      </c>
      <c r="AV7" s="519"/>
      <c r="AW7" s="745" t="s">
        <v>850</v>
      </c>
      <c r="AX7" s="744" t="s">
        <v>830</v>
      </c>
      <c r="AY7" s="681" t="s">
        <v>33</v>
      </c>
      <c r="AZ7" s="312" t="s">
        <v>1078</v>
      </c>
      <c r="BA7" s="681" t="s">
        <v>1079</v>
      </c>
      <c r="BB7" s="957" t="s">
        <v>1080</v>
      </c>
      <c r="BC7" s="519"/>
      <c r="BD7" s="775" t="s">
        <v>1096</v>
      </c>
      <c r="BE7" s="312" t="s">
        <v>1082</v>
      </c>
      <c r="BF7" s="312" t="s">
        <v>1083</v>
      </c>
      <c r="BG7" s="699" t="s">
        <v>1268</v>
      </c>
      <c r="BH7" s="312" t="s">
        <v>290</v>
      </c>
      <c r="BI7" s="519"/>
      <c r="BJ7" s="780" t="s">
        <v>1096</v>
      </c>
      <c r="BK7" s="312" t="s">
        <v>1082</v>
      </c>
      <c r="BL7" s="781" t="s">
        <v>1098</v>
      </c>
      <c r="BM7" s="699" t="s">
        <v>1268</v>
      </c>
      <c r="BN7" s="312" t="s">
        <v>290</v>
      </c>
      <c r="BO7" s="519"/>
      <c r="BP7" s="519"/>
      <c r="BQ7" s="987" t="s">
        <v>1090</v>
      </c>
      <c r="BR7" s="980" t="s">
        <v>570</v>
      </c>
      <c r="BS7" s="981" t="s">
        <v>1229</v>
      </c>
      <c r="BT7" s="375" t="s">
        <v>1041</v>
      </c>
      <c r="BU7" s="982" t="s">
        <v>1040</v>
      </c>
      <c r="BV7" s="982" t="s">
        <v>1039</v>
      </c>
      <c r="BW7" s="982" t="s">
        <v>1043</v>
      </c>
      <c r="BX7" s="983" t="s">
        <v>1042</v>
      </c>
      <c r="BY7" s="981" t="s">
        <v>1229</v>
      </c>
      <c r="BZ7" s="375" t="s">
        <v>1041</v>
      </c>
      <c r="CA7" s="982" t="s">
        <v>1040</v>
      </c>
      <c r="CB7" s="982" t="s">
        <v>1039</v>
      </c>
      <c r="CC7" s="982" t="s">
        <v>1043</v>
      </c>
      <c r="CD7" s="983" t="s">
        <v>1042</v>
      </c>
      <c r="CE7" s="981" t="s">
        <v>1229</v>
      </c>
      <c r="CF7" s="375" t="s">
        <v>1041</v>
      </c>
      <c r="CG7" s="982" t="s">
        <v>1040</v>
      </c>
      <c r="CH7" s="982" t="s">
        <v>1039</v>
      </c>
      <c r="CI7" s="982" t="s">
        <v>1043</v>
      </c>
      <c r="CJ7" s="983" t="s">
        <v>1042</v>
      </c>
      <c r="CK7" s="913" t="s">
        <v>1214</v>
      </c>
      <c r="CM7" s="378" t="s">
        <v>241</v>
      </c>
      <c r="CN7" s="354">
        <v>30</v>
      </c>
    </row>
    <row r="8" spans="1:93" ht="23.25" customHeight="1" thickBot="1" x14ac:dyDescent="0.3">
      <c r="A8" s="379" t="s">
        <v>1307</v>
      </c>
      <c r="B8" s="1221">
        <v>25</v>
      </c>
      <c r="C8" s="452" t="s">
        <v>1306</v>
      </c>
      <c r="D8" s="417">
        <f>100-E8-F8</f>
        <v>100</v>
      </c>
      <c r="E8" s="1232">
        <v>0</v>
      </c>
      <c r="F8" s="1233">
        <v>0</v>
      </c>
      <c r="G8" s="1223">
        <v>80</v>
      </c>
      <c r="H8" s="1224">
        <v>16</v>
      </c>
      <c r="I8" s="420">
        <f>((G8*D8/100)+(G8*E8*0.5/100)+G8*F8*0.75/100)*H8/6.25</f>
        <v>204.8</v>
      </c>
      <c r="J8" s="491" t="s">
        <v>88</v>
      </c>
      <c r="K8" s="422">
        <f t="shared" ref="K8:K31" si="0">VLOOKUP(J8,CM$17:CN$20,2,FALSE)</f>
        <v>20</v>
      </c>
      <c r="L8" s="493" t="s">
        <v>240</v>
      </c>
      <c r="M8" s="424">
        <f t="shared" ref="M8:M31" si="1">VLOOKUP(L8,CM$6:CN$10,2,FALSE)</f>
        <v>10</v>
      </c>
      <c r="N8" s="1228">
        <v>14.4</v>
      </c>
      <c r="O8" s="584">
        <f>IF(I8-M8-K8-N8&lt;0,0,I8-M8-K8-N8)</f>
        <v>160.4</v>
      </c>
      <c r="P8" s="582">
        <f t="shared" ref="P8:P31" si="2">IF(O8&lt;0,0,O8*B8)</f>
        <v>4010</v>
      </c>
      <c r="Q8" s="497">
        <f>G8*(D8/100+E8*0.5/100+F8*0.75/100)*(0.25+0.43*H8/6.25-0.06*H8/6.25*H8/6.25)</f>
        <v>76.606719999999996</v>
      </c>
      <c r="R8" s="407">
        <f>B8*Q8</f>
        <v>1915.1679999999999</v>
      </c>
      <c r="S8" s="16"/>
      <c r="T8" s="958" t="str">
        <f>$A8</f>
        <v>4 Schnitt</v>
      </c>
      <c r="U8" s="899">
        <v>44621</v>
      </c>
      <c r="V8" s="887" t="s">
        <v>1054</v>
      </c>
      <c r="W8" s="906">
        <v>250</v>
      </c>
      <c r="X8" s="687">
        <f>VLOOKUP(V8,Düngemittel!$B$6:$E$64,2,FALSE)*(VLOOKUP(V8,Düngemittel!$B$6:$E$64,3,FALSE))/100*W8</f>
        <v>53.999999999999993</v>
      </c>
      <c r="Y8" s="687">
        <f>VLOOKUP(V8,Düngemittel!$B$6:$E$64,2,FALSE)*W8</f>
        <v>90</v>
      </c>
      <c r="Z8" s="687">
        <f>VLOOKUP(V8,Düngemittel!$B$6:$E$64,4,FALSE)*W8</f>
        <v>37.5</v>
      </c>
      <c r="AA8" s="666"/>
      <c r="AB8" s="899">
        <v>44635</v>
      </c>
      <c r="AC8" s="887" t="s">
        <v>842</v>
      </c>
      <c r="AD8" s="906">
        <v>1.8</v>
      </c>
      <c r="AE8" s="687">
        <f>VLOOKUP(AC8,Düngemittel!$B$6:$E$64,2,FALSE)*(VLOOKUP(AC8,Düngemittel!$B$6:$E$64,3,FALSE))/100*AD8</f>
        <v>46.800000000000004</v>
      </c>
      <c r="AF8" s="687">
        <f>VLOOKUP(AC8,Düngemittel!$B$6:$E$64,2,FALSE)*AD8</f>
        <v>46.800000000000004</v>
      </c>
      <c r="AG8" s="687">
        <f>VLOOKUP(AC8,Düngemittel!$B$6:$E$64,4,FALSE)*AD8</f>
        <v>0</v>
      </c>
      <c r="AH8" s="666"/>
      <c r="AI8" s="899">
        <v>44824</v>
      </c>
      <c r="AJ8" s="887" t="s">
        <v>1054</v>
      </c>
      <c r="AK8" s="906">
        <v>150</v>
      </c>
      <c r="AL8" s="687">
        <f>VLOOKUP(AJ8,Düngemittel!$B$6:$E$64,2,FALSE)*(VLOOKUP(AJ8,Düngemittel!$B$6:$E$64,3,FALSE))/100*AK8</f>
        <v>32.4</v>
      </c>
      <c r="AM8" s="687">
        <f>VLOOKUP(AJ8,Düngemittel!$B$6:$E$64,2,FALSE)*AK8</f>
        <v>54</v>
      </c>
      <c r="AN8" s="687">
        <f>VLOOKUP(AJ8,Düngemittel!$B$6:$E$64,4,FALSE)*AK8</f>
        <v>22.5</v>
      </c>
      <c r="AO8" s="666"/>
      <c r="AP8" s="899"/>
      <c r="AQ8" s="887" t="s">
        <v>805</v>
      </c>
      <c r="AR8" s="906">
        <v>0</v>
      </c>
      <c r="AS8" s="687">
        <f>VLOOKUP(AQ8,Düngemittel!$B$6:$E$64,2,FALSE)*(VLOOKUP(AQ8,Düngemittel!$B$6:$E$64,3,FALSE))/100*AR8</f>
        <v>0</v>
      </c>
      <c r="AT8" s="687">
        <f>VLOOKUP(AQ8,Düngemittel!$B$6:$E$64,2,FALSE)*AR8</f>
        <v>0</v>
      </c>
      <c r="AU8" s="687">
        <f>VLOOKUP(AQ8,Düngemittel!$B$6:$E$64,4,FALSE)*AR8</f>
        <v>0</v>
      </c>
      <c r="AV8" s="666"/>
      <c r="AW8" s="899"/>
      <c r="AX8" s="887" t="s">
        <v>805</v>
      </c>
      <c r="AY8" s="906">
        <v>0</v>
      </c>
      <c r="AZ8" s="687">
        <f>VLOOKUP(AX8,Düngemittel!$B$6:$E$64,2,FALSE)*(VLOOKUP(AX8,Düngemittel!$B$6:$E$64,3,FALSE))/100*AY8</f>
        <v>0</v>
      </c>
      <c r="BA8" s="687">
        <f>VLOOKUP(AX8,Düngemittel!$B$6:$E$64,2,FALSE)*AY8</f>
        <v>0</v>
      </c>
      <c r="BB8" s="774">
        <f>VLOOKUP(AX8,Düngemittel!$B$6:$E$64,4,FALSE)*AY8</f>
        <v>0</v>
      </c>
      <c r="BC8" s="666"/>
      <c r="BD8" s="853">
        <f t="shared" ref="BD8:BD31" si="3">IF(X8&lt;Y8,0,X8)+IF(AE8&lt;AF8,0,AE8)+IF(AL8&lt;AM8,0,AL8)+IF(AS8&lt;AT8,0,AS8)+IF(AZ8&lt;BA8,0,AZ8)</f>
        <v>46.800000000000004</v>
      </c>
      <c r="BE8" s="308">
        <f t="shared" ref="BE8:BE31" si="4">SUM(X8+AE8+AL8+AS8+AZ8)</f>
        <v>133.19999999999999</v>
      </c>
      <c r="BF8" s="853">
        <f t="shared" ref="BF8:BF31" si="5">SUM(Y8+AF8+AM8+AT8+BA8)</f>
        <v>190.8</v>
      </c>
      <c r="BG8" s="777">
        <f t="shared" ref="BG8:BG31" si="6">IF(X8&lt;Y8,Y8,0)+IF(AE8&lt;AF8,AF8,0)+IF(AL8&lt;AM8,AM8,0)+IF(AS8&lt;AT8,AT8,0)+IF(AZ8&lt;BA8,BA8,0)</f>
        <v>144</v>
      </c>
      <c r="BH8" s="308">
        <f t="shared" ref="BH8:BH31" si="7">SUM(Z8+AG8+AN8+AU8+BB8)</f>
        <v>60</v>
      </c>
      <c r="BI8" s="785"/>
      <c r="BJ8" s="853">
        <f>BD8*$B8</f>
        <v>1170</v>
      </c>
      <c r="BK8" s="853">
        <f t="shared" ref="BK8:BN8" si="8">BE8*$B8</f>
        <v>3329.9999999999995</v>
      </c>
      <c r="BL8" s="853">
        <f t="shared" si="8"/>
        <v>4770</v>
      </c>
      <c r="BM8" s="853">
        <f t="shared" si="8"/>
        <v>3600</v>
      </c>
      <c r="BN8" s="853">
        <f t="shared" si="8"/>
        <v>1500</v>
      </c>
      <c r="BO8" s="16"/>
      <c r="BP8" s="16"/>
      <c r="BQ8" s="984" t="str">
        <f>$A8</f>
        <v>4 Schnitt</v>
      </c>
      <c r="BR8" s="985">
        <f>$B8</f>
        <v>25</v>
      </c>
      <c r="BS8" s="979"/>
      <c r="BT8" s="976"/>
      <c r="BU8" s="977"/>
      <c r="BV8" s="977"/>
      <c r="BW8" s="977"/>
      <c r="BX8" s="986">
        <f>SUM(BV8*BW8/24)</f>
        <v>0</v>
      </c>
      <c r="BY8" s="979"/>
      <c r="BZ8" s="976"/>
      <c r="CA8" s="977"/>
      <c r="CB8" s="977"/>
      <c r="CC8" s="977"/>
      <c r="CD8" s="986">
        <f>SUM(CB8*CC8/24)</f>
        <v>0</v>
      </c>
      <c r="CE8" s="979"/>
      <c r="CF8" s="976"/>
      <c r="CG8" s="977"/>
      <c r="CH8" s="977"/>
      <c r="CI8" s="977"/>
      <c r="CJ8" s="986">
        <f>SUM(CH8*CI8/24)</f>
        <v>0</v>
      </c>
      <c r="CK8" s="914"/>
      <c r="CM8" s="378" t="s">
        <v>242</v>
      </c>
      <c r="CN8" s="354">
        <v>50</v>
      </c>
    </row>
    <row r="9" spans="1:93" ht="23.25" customHeight="1" thickBot="1" x14ac:dyDescent="0.3">
      <c r="A9" s="342" t="s">
        <v>1153</v>
      </c>
      <c r="B9" s="1222">
        <v>10</v>
      </c>
      <c r="C9" s="451" t="s">
        <v>213</v>
      </c>
      <c r="D9" s="418">
        <f t="shared" ref="D9:D31" si="9">100-E9-F9</f>
        <v>40</v>
      </c>
      <c r="E9" s="918">
        <v>60</v>
      </c>
      <c r="F9" s="1234">
        <v>0</v>
      </c>
      <c r="G9" s="1065">
        <v>85</v>
      </c>
      <c r="H9" s="1225">
        <v>16.2</v>
      </c>
      <c r="I9" s="421">
        <f t="shared" ref="I9:I31" si="10">((G9*D9/100)+(G9*E9*0.5/100)+G9*F9*0.75/100)*H9/6.25</f>
        <v>154.22399999999999</v>
      </c>
      <c r="J9" s="491" t="s">
        <v>88</v>
      </c>
      <c r="K9" s="423">
        <f t="shared" si="0"/>
        <v>20</v>
      </c>
      <c r="L9" s="494" t="s">
        <v>240</v>
      </c>
      <c r="M9" s="425">
        <f t="shared" si="1"/>
        <v>10</v>
      </c>
      <c r="N9" s="1229">
        <v>5.2</v>
      </c>
      <c r="O9" s="585">
        <f t="shared" ref="O9:O31" si="11">IF(I9-M9-K9-N9&lt;0,0,I9-M9-K9-N9)</f>
        <v>119.02399999999999</v>
      </c>
      <c r="P9" s="583">
        <f t="shared" si="2"/>
        <v>1190.2399999999998</v>
      </c>
      <c r="Q9" s="499">
        <f t="shared" ref="Q9:Q31" si="12">G9*(D9/100+E9*0.5/100+F9*0.75/100)*(0.25+0.43*H9/6.25-0.06*H9/6.25*H9/6.25)</f>
        <v>57.206403519999995</v>
      </c>
      <c r="R9" s="409">
        <f t="shared" ref="R9:R31" si="13">B9*Q9</f>
        <v>572.06403519999992</v>
      </c>
      <c r="S9" s="16"/>
      <c r="T9" s="958" t="str">
        <f>$A9</f>
        <v>Mähweide</v>
      </c>
      <c r="U9" s="899">
        <v>44635</v>
      </c>
      <c r="V9" s="887" t="s">
        <v>842</v>
      </c>
      <c r="W9" s="906">
        <v>1.8</v>
      </c>
      <c r="X9" s="687">
        <f>VLOOKUP(V9,Düngemittel!$B$6:$E$64,2,FALSE)*(VLOOKUP(V9,Düngemittel!$B$6:$E$64,3,FALSE))/100*W9</f>
        <v>46.800000000000004</v>
      </c>
      <c r="Y9" s="687">
        <f>VLOOKUP(V9,Düngemittel!$B$6:$E$64,2,FALSE)*W9</f>
        <v>46.800000000000004</v>
      </c>
      <c r="Z9" s="687">
        <f>VLOOKUP(V9,Düngemittel!$B$6:$E$64,4,FALSE)*W9</f>
        <v>0</v>
      </c>
      <c r="AA9" s="666"/>
      <c r="AB9" s="899"/>
      <c r="AC9" s="887" t="s">
        <v>805</v>
      </c>
      <c r="AD9" s="978">
        <v>0</v>
      </c>
      <c r="AE9" s="687">
        <f>VLOOKUP(AC9,Düngemittel!$B$6:$E$64,2,FALSE)*(VLOOKUP(AC9,Düngemittel!$B$6:$E$64,3,FALSE))/100*AD9</f>
        <v>0</v>
      </c>
      <c r="AF9" s="687">
        <f>VLOOKUP(AC9,Düngemittel!$B$6:$E$64,2,FALSE)*AD9</f>
        <v>0</v>
      </c>
      <c r="AG9" s="687">
        <f>VLOOKUP(AC9,Düngemittel!$B$6:$E$64,4,FALSE)*AD9</f>
        <v>0</v>
      </c>
      <c r="AH9" s="666"/>
      <c r="AI9" s="899">
        <v>44824</v>
      </c>
      <c r="AJ9" s="887" t="s">
        <v>1054</v>
      </c>
      <c r="AK9" s="978">
        <v>150</v>
      </c>
      <c r="AL9" s="687">
        <f>VLOOKUP(AJ9,Düngemittel!$B$6:$E$64,2,FALSE)*(VLOOKUP(AJ9,Düngemittel!$B$6:$E$64,3,FALSE))/100*AK9</f>
        <v>32.4</v>
      </c>
      <c r="AM9" s="687">
        <f>VLOOKUP(AJ9,Düngemittel!$B$6:$E$64,2,FALSE)*AK9</f>
        <v>54</v>
      </c>
      <c r="AN9" s="687">
        <f>VLOOKUP(AJ9,Düngemittel!$B$6:$E$64,4,FALSE)*AK9</f>
        <v>22.5</v>
      </c>
      <c r="AO9" s="666"/>
      <c r="AP9" s="899"/>
      <c r="AQ9" s="887" t="s">
        <v>805</v>
      </c>
      <c r="AR9" s="978">
        <v>0</v>
      </c>
      <c r="AS9" s="687">
        <f>VLOOKUP(AQ9,Düngemittel!$B$6:$E$64,2,FALSE)*(VLOOKUP(AQ9,Düngemittel!$B$6:$E$64,3,FALSE))/100*AR9</f>
        <v>0</v>
      </c>
      <c r="AT9" s="687">
        <f>VLOOKUP(AQ9,Düngemittel!$B$6:$E$64,2,FALSE)*AR9</f>
        <v>0</v>
      </c>
      <c r="AU9" s="687">
        <f>VLOOKUP(AQ9,Düngemittel!$B$6:$E$64,4,FALSE)*AR9</f>
        <v>0</v>
      </c>
      <c r="AV9" s="666"/>
      <c r="AW9" s="899"/>
      <c r="AX9" s="887" t="s">
        <v>805</v>
      </c>
      <c r="AY9" s="906">
        <v>0</v>
      </c>
      <c r="AZ9" s="687">
        <f>VLOOKUP(AX9,Düngemittel!$B$6:$E$64,2,FALSE)*(VLOOKUP(AX9,Düngemittel!$B$6:$E$64,3,FALSE))/100*AY9</f>
        <v>0</v>
      </c>
      <c r="BA9" s="687">
        <f>VLOOKUP(AX9,Düngemittel!$B$6:$E$64,2,FALSE)*AY9</f>
        <v>0</v>
      </c>
      <c r="BB9" s="774">
        <f>VLOOKUP(AX9,Düngemittel!$B$6:$E$64,4,FALSE)*AY9</f>
        <v>0</v>
      </c>
      <c r="BC9" s="666"/>
      <c r="BD9" s="853">
        <f t="shared" si="3"/>
        <v>46.800000000000004</v>
      </c>
      <c r="BE9" s="308">
        <f t="shared" si="4"/>
        <v>79.2</v>
      </c>
      <c r="BF9" s="853">
        <f t="shared" si="5"/>
        <v>100.80000000000001</v>
      </c>
      <c r="BG9" s="777">
        <f t="shared" si="6"/>
        <v>54</v>
      </c>
      <c r="BH9" s="308">
        <f t="shared" si="7"/>
        <v>22.5</v>
      </c>
      <c r="BI9" s="785"/>
      <c r="BJ9" s="853">
        <f t="shared" ref="BJ9:BJ31" si="14">BD9*$B9</f>
        <v>468.00000000000006</v>
      </c>
      <c r="BK9" s="853">
        <f t="shared" ref="BK9:BK31" si="15">BE9*$B9</f>
        <v>792</v>
      </c>
      <c r="BL9" s="853">
        <f t="shared" ref="BL9:BL31" si="16">BF9*$B9</f>
        <v>1008.0000000000001</v>
      </c>
      <c r="BM9" s="853">
        <f t="shared" ref="BM9:BM31" si="17">BG9*$B9</f>
        <v>540</v>
      </c>
      <c r="BN9" s="853">
        <f t="shared" ref="BN9:BN31" si="18">BH9*$B9</f>
        <v>225</v>
      </c>
      <c r="BO9" s="16"/>
      <c r="BP9" s="16"/>
      <c r="BQ9" s="984" t="str">
        <f t="shared" ref="BQ9:BQ31" si="19">$A9</f>
        <v>Mähweide</v>
      </c>
      <c r="BR9" s="985">
        <f t="shared" ref="BR9:BR31" si="20">$B9</f>
        <v>10</v>
      </c>
      <c r="BS9" s="919" t="s">
        <v>1308</v>
      </c>
      <c r="BT9" s="974" t="s">
        <v>1309</v>
      </c>
      <c r="BU9" s="918">
        <v>40</v>
      </c>
      <c r="BV9" s="918">
        <v>160</v>
      </c>
      <c r="BW9" s="918">
        <v>24</v>
      </c>
      <c r="BX9" s="774">
        <f t="shared" ref="BX9:BX31" si="21">SUM(BV9*BW9/24)</f>
        <v>160</v>
      </c>
      <c r="BY9" s="919"/>
      <c r="BZ9" s="974"/>
      <c r="CA9" s="918"/>
      <c r="CB9" s="918"/>
      <c r="CC9" s="918"/>
      <c r="CD9" s="774">
        <f t="shared" ref="CD9:CD31" si="22">SUM(CB9*CC9/24)</f>
        <v>0</v>
      </c>
      <c r="CE9" s="919"/>
      <c r="CF9" s="974"/>
      <c r="CG9" s="918"/>
      <c r="CH9" s="918"/>
      <c r="CI9" s="918"/>
      <c r="CJ9" s="774">
        <f t="shared" ref="CJ9:CJ31" si="23">SUM(CH9*CI9/24)</f>
        <v>0</v>
      </c>
      <c r="CK9" s="915"/>
      <c r="CM9" s="378" t="s">
        <v>80</v>
      </c>
      <c r="CN9" s="354">
        <v>50</v>
      </c>
    </row>
    <row r="10" spans="1:93" ht="23.25" customHeight="1" thickBot="1" x14ac:dyDescent="0.3">
      <c r="A10" s="342">
        <v>3</v>
      </c>
      <c r="B10" s="1222">
        <v>0</v>
      </c>
      <c r="C10" s="451"/>
      <c r="D10" s="418">
        <f t="shared" si="9"/>
        <v>100</v>
      </c>
      <c r="E10" s="918">
        <v>0</v>
      </c>
      <c r="F10" s="1234">
        <v>0</v>
      </c>
      <c r="G10" s="1065">
        <v>0</v>
      </c>
      <c r="H10" s="1225">
        <v>0</v>
      </c>
      <c r="I10" s="421">
        <f t="shared" si="10"/>
        <v>0</v>
      </c>
      <c r="J10" s="491" t="s">
        <v>90</v>
      </c>
      <c r="K10" s="423">
        <f t="shared" si="0"/>
        <v>0</v>
      </c>
      <c r="L10" s="494" t="s">
        <v>240</v>
      </c>
      <c r="M10" s="425">
        <f t="shared" si="1"/>
        <v>10</v>
      </c>
      <c r="N10" s="1229"/>
      <c r="O10" s="585">
        <f t="shared" si="11"/>
        <v>0</v>
      </c>
      <c r="P10" s="583">
        <f t="shared" si="2"/>
        <v>0</v>
      </c>
      <c r="Q10" s="499">
        <f t="shared" si="12"/>
        <v>0</v>
      </c>
      <c r="R10" s="409">
        <f t="shared" si="13"/>
        <v>0</v>
      </c>
      <c r="S10" s="16"/>
      <c r="T10" s="958">
        <f>$A10</f>
        <v>3</v>
      </c>
      <c r="U10" s="899"/>
      <c r="V10" s="887" t="s">
        <v>805</v>
      </c>
      <c r="W10" s="906">
        <v>0</v>
      </c>
      <c r="X10" s="687">
        <f>VLOOKUP(V10,Düngemittel!$B$6:$E$64,2,FALSE)*(VLOOKUP(V10,Düngemittel!$B$6:$E$64,3,FALSE))/100*W10</f>
        <v>0</v>
      </c>
      <c r="Y10" s="687">
        <f>VLOOKUP(V10,Düngemittel!$B$6:$E$64,2,FALSE)*W10</f>
        <v>0</v>
      </c>
      <c r="Z10" s="687">
        <f>VLOOKUP(V10,Düngemittel!$B$6:$E$64,4,FALSE)*W10</f>
        <v>0</v>
      </c>
      <c r="AA10" s="666"/>
      <c r="AB10" s="899"/>
      <c r="AC10" s="887" t="s">
        <v>805</v>
      </c>
      <c r="AD10" s="978">
        <v>0</v>
      </c>
      <c r="AE10" s="687">
        <f>VLOOKUP(AC10,Düngemittel!$B$6:$E$64,2,FALSE)*(VLOOKUP(AC10,Düngemittel!$B$6:$E$64,3,FALSE))/100*AD10</f>
        <v>0</v>
      </c>
      <c r="AF10" s="687">
        <f>VLOOKUP(AC10,Düngemittel!$B$6:$E$64,2,FALSE)*AD10</f>
        <v>0</v>
      </c>
      <c r="AG10" s="687">
        <f>VLOOKUP(AC10,Düngemittel!$B$6:$E$64,4,FALSE)*AD10</f>
        <v>0</v>
      </c>
      <c r="AH10" s="666"/>
      <c r="AI10" s="899"/>
      <c r="AJ10" s="887" t="s">
        <v>805</v>
      </c>
      <c r="AK10" s="978">
        <v>0</v>
      </c>
      <c r="AL10" s="687">
        <f>VLOOKUP(AJ10,Düngemittel!$B$6:$E$64,2,FALSE)*(VLOOKUP(AJ10,Düngemittel!$B$6:$E$64,3,FALSE))/100*AK10</f>
        <v>0</v>
      </c>
      <c r="AM10" s="687">
        <f>VLOOKUP(AJ10,Düngemittel!$B$6:$E$64,2,FALSE)*AK10</f>
        <v>0</v>
      </c>
      <c r="AN10" s="687">
        <f>VLOOKUP(AJ10,Düngemittel!$B$6:$E$64,4,FALSE)*AK10</f>
        <v>0</v>
      </c>
      <c r="AO10" s="666"/>
      <c r="AP10" s="899"/>
      <c r="AQ10" s="887" t="s">
        <v>805</v>
      </c>
      <c r="AR10" s="978">
        <v>0</v>
      </c>
      <c r="AS10" s="687">
        <f>VLOOKUP(AQ10,Düngemittel!$B$6:$E$64,2,FALSE)*(VLOOKUP(AQ10,Düngemittel!$B$6:$E$64,3,FALSE))/100*AR10</f>
        <v>0</v>
      </c>
      <c r="AT10" s="687">
        <f>VLOOKUP(AQ10,Düngemittel!$B$6:$E$64,2,FALSE)*AR10</f>
        <v>0</v>
      </c>
      <c r="AU10" s="687">
        <f>VLOOKUP(AQ10,Düngemittel!$B$6:$E$64,4,FALSE)*AR10</f>
        <v>0</v>
      </c>
      <c r="AV10" s="666"/>
      <c r="AW10" s="899"/>
      <c r="AX10" s="887" t="s">
        <v>805</v>
      </c>
      <c r="AY10" s="906">
        <v>0</v>
      </c>
      <c r="AZ10" s="687">
        <f>VLOOKUP(AX10,Düngemittel!$B$6:$E$64,2,FALSE)*(VLOOKUP(AX10,Düngemittel!$B$6:$E$64,3,FALSE))/100*AY10</f>
        <v>0</v>
      </c>
      <c r="BA10" s="687">
        <f>VLOOKUP(AX10,Düngemittel!$B$6:$E$64,2,FALSE)*AY10</f>
        <v>0</v>
      </c>
      <c r="BB10" s="774">
        <f>VLOOKUP(AX10,Düngemittel!$B$6:$E$64,4,FALSE)*AY10</f>
        <v>0</v>
      </c>
      <c r="BC10" s="666"/>
      <c r="BD10" s="853">
        <f t="shared" si="3"/>
        <v>0</v>
      </c>
      <c r="BE10" s="308">
        <f t="shared" si="4"/>
        <v>0</v>
      </c>
      <c r="BF10" s="853">
        <f t="shared" si="5"/>
        <v>0</v>
      </c>
      <c r="BG10" s="777">
        <f t="shared" si="6"/>
        <v>0</v>
      </c>
      <c r="BH10" s="308">
        <f t="shared" si="7"/>
        <v>0</v>
      </c>
      <c r="BI10" s="785"/>
      <c r="BJ10" s="853">
        <f t="shared" si="14"/>
        <v>0</v>
      </c>
      <c r="BK10" s="853">
        <f t="shared" si="15"/>
        <v>0</v>
      </c>
      <c r="BL10" s="853">
        <f t="shared" si="16"/>
        <v>0</v>
      </c>
      <c r="BM10" s="853">
        <f t="shared" si="17"/>
        <v>0</v>
      </c>
      <c r="BN10" s="853">
        <f t="shared" si="18"/>
        <v>0</v>
      </c>
      <c r="BO10" s="16"/>
      <c r="BP10" s="16"/>
      <c r="BQ10" s="984">
        <f t="shared" si="19"/>
        <v>3</v>
      </c>
      <c r="BR10" s="985">
        <f t="shared" si="20"/>
        <v>0</v>
      </c>
      <c r="BS10" s="919"/>
      <c r="BT10" s="974"/>
      <c r="BU10" s="918"/>
      <c r="BV10" s="918"/>
      <c r="BW10" s="918"/>
      <c r="BX10" s="774">
        <f t="shared" si="21"/>
        <v>0</v>
      </c>
      <c r="BY10" s="919"/>
      <c r="BZ10" s="974"/>
      <c r="CA10" s="918"/>
      <c r="CB10" s="918"/>
      <c r="CC10" s="918"/>
      <c r="CD10" s="774">
        <f t="shared" si="22"/>
        <v>0</v>
      </c>
      <c r="CE10" s="919"/>
      <c r="CF10" s="974"/>
      <c r="CG10" s="918"/>
      <c r="CH10" s="918"/>
      <c r="CI10" s="918"/>
      <c r="CJ10" s="774">
        <f t="shared" si="23"/>
        <v>0</v>
      </c>
      <c r="CK10" s="915"/>
      <c r="CM10" s="378" t="s">
        <v>81</v>
      </c>
      <c r="CN10" s="354">
        <v>80</v>
      </c>
    </row>
    <row r="11" spans="1:93" ht="23.25" customHeight="1" x14ac:dyDescent="0.25">
      <c r="A11" s="342">
        <v>4</v>
      </c>
      <c r="B11" s="1222">
        <v>0</v>
      </c>
      <c r="C11" s="451"/>
      <c r="D11" s="418">
        <f t="shared" si="9"/>
        <v>100</v>
      </c>
      <c r="E11" s="918">
        <v>0</v>
      </c>
      <c r="F11" s="1234">
        <v>0</v>
      </c>
      <c r="G11" s="1065">
        <v>0</v>
      </c>
      <c r="H11" s="1225">
        <v>0</v>
      </c>
      <c r="I11" s="421">
        <f t="shared" si="10"/>
        <v>0</v>
      </c>
      <c r="J11" s="491" t="s">
        <v>90</v>
      </c>
      <c r="K11" s="423">
        <f t="shared" si="0"/>
        <v>0</v>
      </c>
      <c r="L11" s="494" t="s">
        <v>240</v>
      </c>
      <c r="M11" s="425">
        <f t="shared" si="1"/>
        <v>10</v>
      </c>
      <c r="N11" s="1229"/>
      <c r="O11" s="585">
        <f t="shared" si="11"/>
        <v>0</v>
      </c>
      <c r="P11" s="583">
        <f t="shared" si="2"/>
        <v>0</v>
      </c>
      <c r="Q11" s="499">
        <f t="shared" si="12"/>
        <v>0</v>
      </c>
      <c r="R11" s="409">
        <f t="shared" si="13"/>
        <v>0</v>
      </c>
      <c r="S11" s="16"/>
      <c r="T11" s="958">
        <f>$A11</f>
        <v>4</v>
      </c>
      <c r="U11" s="899"/>
      <c r="V11" s="887" t="s">
        <v>805</v>
      </c>
      <c r="W11" s="906">
        <v>0</v>
      </c>
      <c r="X11" s="687">
        <f>VLOOKUP(V11,Düngemittel!$B$6:$E$64,2,FALSE)*(VLOOKUP(V11,Düngemittel!$B$6:$E$64,3,FALSE))/100*W11</f>
        <v>0</v>
      </c>
      <c r="Y11" s="687">
        <f>VLOOKUP(V11,Düngemittel!$B$6:$E$64,2,FALSE)*W11</f>
        <v>0</v>
      </c>
      <c r="Z11" s="687">
        <f>VLOOKUP(V11,Düngemittel!$B$6:$E$64,4,FALSE)*W11</f>
        <v>0</v>
      </c>
      <c r="AA11" s="666"/>
      <c r="AB11" s="899"/>
      <c r="AC11" s="887" t="s">
        <v>805</v>
      </c>
      <c r="AD11" s="978">
        <v>0</v>
      </c>
      <c r="AE11" s="687">
        <f>VLOOKUP(AC11,Düngemittel!$B$6:$E$64,2,FALSE)*(VLOOKUP(AC11,Düngemittel!$B$6:$E$64,3,FALSE))/100*AD11</f>
        <v>0</v>
      </c>
      <c r="AF11" s="687">
        <f>VLOOKUP(AC11,Düngemittel!$B$6:$E$64,2,FALSE)*AD11</f>
        <v>0</v>
      </c>
      <c r="AG11" s="687">
        <f>VLOOKUP(AC11,Düngemittel!$B$6:$E$64,4,FALSE)*AD11</f>
        <v>0</v>
      </c>
      <c r="AH11" s="666"/>
      <c r="AI11" s="899"/>
      <c r="AJ11" s="887" t="s">
        <v>805</v>
      </c>
      <c r="AK11" s="978">
        <v>0</v>
      </c>
      <c r="AL11" s="687">
        <f>VLOOKUP(AJ11,Düngemittel!$B$6:$E$64,2,FALSE)*(VLOOKUP(AJ11,Düngemittel!$B$6:$E$64,3,FALSE))/100*AK11</f>
        <v>0</v>
      </c>
      <c r="AM11" s="687">
        <f>VLOOKUP(AJ11,Düngemittel!$B$6:$E$64,2,FALSE)*AK11</f>
        <v>0</v>
      </c>
      <c r="AN11" s="687">
        <f>VLOOKUP(AJ11,Düngemittel!$B$6:$E$64,4,FALSE)*AK11</f>
        <v>0</v>
      </c>
      <c r="AO11" s="666"/>
      <c r="AP11" s="899"/>
      <c r="AQ11" s="887" t="s">
        <v>805</v>
      </c>
      <c r="AR11" s="978">
        <v>0</v>
      </c>
      <c r="AS11" s="687">
        <f>VLOOKUP(AQ11,Düngemittel!$B$6:$E$64,2,FALSE)*(VLOOKUP(AQ11,Düngemittel!$B$6:$E$64,3,FALSE))/100*AR11</f>
        <v>0</v>
      </c>
      <c r="AT11" s="687">
        <f>VLOOKUP(AQ11,Düngemittel!$B$6:$E$64,2,FALSE)*AR11</f>
        <v>0</v>
      </c>
      <c r="AU11" s="687">
        <f>VLOOKUP(AQ11,Düngemittel!$B$6:$E$64,4,FALSE)*AR11</f>
        <v>0</v>
      </c>
      <c r="AV11" s="666"/>
      <c r="AW11" s="899"/>
      <c r="AX11" s="887" t="s">
        <v>805</v>
      </c>
      <c r="AY11" s="906">
        <v>0</v>
      </c>
      <c r="AZ11" s="687">
        <f>VLOOKUP(AX11,Düngemittel!$B$6:$E$64,2,FALSE)*(VLOOKUP(AX11,Düngemittel!$B$6:$E$64,3,FALSE))/100*AY11</f>
        <v>0</v>
      </c>
      <c r="BA11" s="687">
        <f>VLOOKUP(AX11,Düngemittel!$B$6:$E$64,2,FALSE)*AY11</f>
        <v>0</v>
      </c>
      <c r="BB11" s="774">
        <f>VLOOKUP(AX11,Düngemittel!$B$6:$E$64,4,FALSE)*AY11</f>
        <v>0</v>
      </c>
      <c r="BC11" s="666"/>
      <c r="BD11" s="853">
        <f t="shared" si="3"/>
        <v>0</v>
      </c>
      <c r="BE11" s="308">
        <f t="shared" si="4"/>
        <v>0</v>
      </c>
      <c r="BF11" s="853">
        <f t="shared" si="5"/>
        <v>0</v>
      </c>
      <c r="BG11" s="777">
        <f t="shared" si="6"/>
        <v>0</v>
      </c>
      <c r="BH11" s="308">
        <f t="shared" si="7"/>
        <v>0</v>
      </c>
      <c r="BI11" s="785"/>
      <c r="BJ11" s="853">
        <f t="shared" si="14"/>
        <v>0</v>
      </c>
      <c r="BK11" s="853">
        <f t="shared" si="15"/>
        <v>0</v>
      </c>
      <c r="BL11" s="853">
        <f t="shared" si="16"/>
        <v>0</v>
      </c>
      <c r="BM11" s="853">
        <f t="shared" si="17"/>
        <v>0</v>
      </c>
      <c r="BN11" s="853">
        <f t="shared" si="18"/>
        <v>0</v>
      </c>
      <c r="BO11" s="16"/>
      <c r="BP11" s="16"/>
      <c r="BQ11" s="984">
        <f t="shared" si="19"/>
        <v>4</v>
      </c>
      <c r="BR11" s="985">
        <f t="shared" si="20"/>
        <v>0</v>
      </c>
      <c r="BS11" s="919"/>
      <c r="BT11" s="974"/>
      <c r="BU11" s="918"/>
      <c r="BV11" s="918"/>
      <c r="BW11" s="918"/>
      <c r="BX11" s="774">
        <f t="shared" si="21"/>
        <v>0</v>
      </c>
      <c r="BY11" s="919"/>
      <c r="BZ11" s="974"/>
      <c r="CA11" s="918"/>
      <c r="CB11" s="918"/>
      <c r="CC11" s="918"/>
      <c r="CD11" s="774">
        <f t="shared" si="22"/>
        <v>0</v>
      </c>
      <c r="CE11" s="919"/>
      <c r="CF11" s="974"/>
      <c r="CG11" s="918"/>
      <c r="CH11" s="918"/>
      <c r="CI11" s="918"/>
      <c r="CJ11" s="774">
        <f t="shared" si="23"/>
        <v>0</v>
      </c>
      <c r="CK11" s="915"/>
      <c r="CM11" s="9"/>
      <c r="CN11"/>
    </row>
    <row r="12" spans="1:93" ht="23.25" customHeight="1" x14ac:dyDescent="0.25">
      <c r="A12" s="342">
        <v>5</v>
      </c>
      <c r="B12" s="1222">
        <v>0</v>
      </c>
      <c r="C12" s="451"/>
      <c r="D12" s="418">
        <f t="shared" si="9"/>
        <v>100</v>
      </c>
      <c r="E12" s="918">
        <v>0</v>
      </c>
      <c r="F12" s="1234">
        <v>0</v>
      </c>
      <c r="G12" s="1065">
        <v>0</v>
      </c>
      <c r="H12" s="1225">
        <v>0</v>
      </c>
      <c r="I12" s="421">
        <f t="shared" si="10"/>
        <v>0</v>
      </c>
      <c r="J12" s="492" t="s">
        <v>90</v>
      </c>
      <c r="K12" s="423">
        <f t="shared" si="0"/>
        <v>0</v>
      </c>
      <c r="L12" s="494" t="s">
        <v>240</v>
      </c>
      <c r="M12" s="425">
        <f t="shared" si="1"/>
        <v>10</v>
      </c>
      <c r="N12" s="1229"/>
      <c r="O12" s="585">
        <f t="shared" si="11"/>
        <v>0</v>
      </c>
      <c r="P12" s="583">
        <f t="shared" si="2"/>
        <v>0</v>
      </c>
      <c r="Q12" s="499">
        <f t="shared" si="12"/>
        <v>0</v>
      </c>
      <c r="R12" s="409">
        <f t="shared" si="13"/>
        <v>0</v>
      </c>
      <c r="S12" s="16"/>
      <c r="T12" s="958">
        <f t="shared" ref="T12:T31" si="24">$A12</f>
        <v>5</v>
      </c>
      <c r="U12" s="899"/>
      <c r="V12" s="887" t="s">
        <v>805</v>
      </c>
      <c r="W12" s="978">
        <v>0</v>
      </c>
      <c r="X12" s="687">
        <f>VLOOKUP(V12,Düngemittel!$B$6:$E$64,2,FALSE)*(VLOOKUP(V12,Düngemittel!$B$6:$E$64,3,FALSE))/100*W12</f>
        <v>0</v>
      </c>
      <c r="Y12" s="687">
        <f>VLOOKUP(V12,Düngemittel!$B$6:$E$64,2,FALSE)*W12</f>
        <v>0</v>
      </c>
      <c r="Z12" s="687">
        <f>VLOOKUP(V12,Düngemittel!$B$6:$E$64,4,FALSE)*W12</f>
        <v>0</v>
      </c>
      <c r="AA12" s="666"/>
      <c r="AB12" s="899"/>
      <c r="AC12" s="887" t="s">
        <v>805</v>
      </c>
      <c r="AD12" s="978">
        <v>0</v>
      </c>
      <c r="AE12" s="687">
        <f>VLOOKUP(AC12,Düngemittel!$B$6:$E$64,2,FALSE)*(VLOOKUP(AC12,Düngemittel!$B$6:$E$64,3,FALSE))/100*AD12</f>
        <v>0</v>
      </c>
      <c r="AF12" s="687">
        <f>VLOOKUP(AC12,Düngemittel!$B$6:$E$64,2,FALSE)*AD12</f>
        <v>0</v>
      </c>
      <c r="AG12" s="687">
        <f>VLOOKUP(AC12,Düngemittel!$B$6:$E$64,4,FALSE)*AD12</f>
        <v>0</v>
      </c>
      <c r="AH12" s="666"/>
      <c r="AI12" s="899"/>
      <c r="AJ12" s="887" t="s">
        <v>805</v>
      </c>
      <c r="AK12" s="978">
        <v>0</v>
      </c>
      <c r="AL12" s="687">
        <f>VLOOKUP(AJ12,Düngemittel!$B$6:$E$64,2,FALSE)*(VLOOKUP(AJ12,Düngemittel!$B$6:$E$64,3,FALSE))/100*AK12</f>
        <v>0</v>
      </c>
      <c r="AM12" s="687">
        <f>VLOOKUP(AJ12,Düngemittel!$B$6:$E$64,2,FALSE)*AK12</f>
        <v>0</v>
      </c>
      <c r="AN12" s="687">
        <f>VLOOKUP(AJ12,Düngemittel!$B$6:$E$64,4,FALSE)*AK12</f>
        <v>0</v>
      </c>
      <c r="AO12" s="666"/>
      <c r="AP12" s="899"/>
      <c r="AQ12" s="887" t="s">
        <v>805</v>
      </c>
      <c r="AR12" s="978">
        <v>0</v>
      </c>
      <c r="AS12" s="687">
        <f>VLOOKUP(AQ12,Düngemittel!$B$6:$E$64,2,FALSE)*(VLOOKUP(AQ12,Düngemittel!$B$6:$E$64,3,FALSE))/100*AR12</f>
        <v>0</v>
      </c>
      <c r="AT12" s="687">
        <f>VLOOKUP(AQ12,Düngemittel!$B$6:$E$64,2,FALSE)*AR12</f>
        <v>0</v>
      </c>
      <c r="AU12" s="687">
        <f>VLOOKUP(AQ12,Düngemittel!$B$6:$E$64,4,FALSE)*AR12</f>
        <v>0</v>
      </c>
      <c r="AV12" s="666"/>
      <c r="AW12" s="899"/>
      <c r="AX12" s="887" t="s">
        <v>805</v>
      </c>
      <c r="AY12" s="978">
        <v>0</v>
      </c>
      <c r="AZ12" s="687">
        <f>VLOOKUP(AX12,Düngemittel!$B$6:$E$64,2,FALSE)*(VLOOKUP(AX12,Düngemittel!$B$6:$E$64,3,FALSE))/100*AY12</f>
        <v>0</v>
      </c>
      <c r="BA12" s="687">
        <f>VLOOKUP(AX12,Düngemittel!$B$6:$E$64,2,FALSE)*AY12</f>
        <v>0</v>
      </c>
      <c r="BB12" s="774">
        <f>VLOOKUP(AX12,Düngemittel!$B$6:$E$64,4,FALSE)*AY12</f>
        <v>0</v>
      </c>
      <c r="BC12" s="666"/>
      <c r="BD12" s="853">
        <f t="shared" si="3"/>
        <v>0</v>
      </c>
      <c r="BE12" s="308">
        <f t="shared" si="4"/>
        <v>0</v>
      </c>
      <c r="BF12" s="853">
        <f t="shared" si="5"/>
        <v>0</v>
      </c>
      <c r="BG12" s="777">
        <f t="shared" si="6"/>
        <v>0</v>
      </c>
      <c r="BH12" s="308">
        <f t="shared" si="7"/>
        <v>0</v>
      </c>
      <c r="BI12" s="785"/>
      <c r="BJ12" s="853">
        <f t="shared" si="14"/>
        <v>0</v>
      </c>
      <c r="BK12" s="853">
        <f t="shared" si="15"/>
        <v>0</v>
      </c>
      <c r="BL12" s="853">
        <f t="shared" si="16"/>
        <v>0</v>
      </c>
      <c r="BM12" s="853">
        <f t="shared" si="17"/>
        <v>0</v>
      </c>
      <c r="BN12" s="853">
        <f t="shared" si="18"/>
        <v>0</v>
      </c>
      <c r="BO12" s="16"/>
      <c r="BP12" s="16"/>
      <c r="BQ12" s="984">
        <f t="shared" si="19"/>
        <v>5</v>
      </c>
      <c r="BR12" s="985">
        <f t="shared" si="20"/>
        <v>0</v>
      </c>
      <c r="BS12" s="919"/>
      <c r="BT12" s="974"/>
      <c r="BU12" s="918"/>
      <c r="BV12" s="918"/>
      <c r="BW12" s="918"/>
      <c r="BX12" s="774">
        <f t="shared" si="21"/>
        <v>0</v>
      </c>
      <c r="BY12" s="919"/>
      <c r="BZ12" s="974"/>
      <c r="CA12" s="918"/>
      <c r="CB12" s="918"/>
      <c r="CC12" s="918"/>
      <c r="CD12" s="774">
        <f t="shared" si="22"/>
        <v>0</v>
      </c>
      <c r="CE12" s="919"/>
      <c r="CF12" s="974"/>
      <c r="CG12" s="918"/>
      <c r="CH12" s="918"/>
      <c r="CI12" s="918"/>
      <c r="CJ12" s="774">
        <f t="shared" si="23"/>
        <v>0</v>
      </c>
      <c r="CK12" s="915"/>
    </row>
    <row r="13" spans="1:93" ht="23.25" customHeight="1" x14ac:dyDescent="0.25">
      <c r="A13" s="342">
        <v>6</v>
      </c>
      <c r="B13" s="1222">
        <v>0</v>
      </c>
      <c r="C13" s="451"/>
      <c r="D13" s="418">
        <f t="shared" si="9"/>
        <v>100</v>
      </c>
      <c r="E13" s="918">
        <v>0</v>
      </c>
      <c r="F13" s="1234">
        <v>0</v>
      </c>
      <c r="G13" s="1065">
        <v>0</v>
      </c>
      <c r="H13" s="1225">
        <v>0</v>
      </c>
      <c r="I13" s="421">
        <f t="shared" si="10"/>
        <v>0</v>
      </c>
      <c r="J13" s="492" t="s">
        <v>90</v>
      </c>
      <c r="K13" s="423">
        <f t="shared" si="0"/>
        <v>0</v>
      </c>
      <c r="L13" s="494" t="s">
        <v>240</v>
      </c>
      <c r="M13" s="425">
        <f t="shared" si="1"/>
        <v>10</v>
      </c>
      <c r="N13" s="1229"/>
      <c r="O13" s="585">
        <f t="shared" si="11"/>
        <v>0</v>
      </c>
      <c r="P13" s="583">
        <f t="shared" si="2"/>
        <v>0</v>
      </c>
      <c r="Q13" s="499">
        <f t="shared" si="12"/>
        <v>0</v>
      </c>
      <c r="R13" s="409">
        <f t="shared" si="13"/>
        <v>0</v>
      </c>
      <c r="S13" s="16"/>
      <c r="T13" s="958">
        <f t="shared" si="24"/>
        <v>6</v>
      </c>
      <c r="U13" s="899"/>
      <c r="V13" s="887" t="s">
        <v>805</v>
      </c>
      <c r="W13" s="978">
        <v>0</v>
      </c>
      <c r="X13" s="687">
        <f>VLOOKUP(V13,Düngemittel!$B$6:$E$64,2,FALSE)*(VLOOKUP(V13,Düngemittel!$B$6:$E$64,3,FALSE))/100*W13</f>
        <v>0</v>
      </c>
      <c r="Y13" s="687">
        <f>VLOOKUP(V13,Düngemittel!$B$6:$E$64,2,FALSE)*W13</f>
        <v>0</v>
      </c>
      <c r="Z13" s="687">
        <f>VLOOKUP(V13,Düngemittel!$B$6:$E$64,4,FALSE)*W13</f>
        <v>0</v>
      </c>
      <c r="AA13" s="666"/>
      <c r="AB13" s="899"/>
      <c r="AC13" s="887" t="s">
        <v>805</v>
      </c>
      <c r="AD13" s="978">
        <v>0</v>
      </c>
      <c r="AE13" s="687">
        <f>VLOOKUP(AC13,Düngemittel!$B$6:$E$64,2,FALSE)*(VLOOKUP(AC13,Düngemittel!$B$6:$E$64,3,FALSE))/100*AD13</f>
        <v>0</v>
      </c>
      <c r="AF13" s="687">
        <f>VLOOKUP(AC13,Düngemittel!$B$6:$E$64,2,FALSE)*AD13</f>
        <v>0</v>
      </c>
      <c r="AG13" s="687">
        <f>VLOOKUP(AC13,Düngemittel!$B$6:$E$64,4,FALSE)*AD13</f>
        <v>0</v>
      </c>
      <c r="AH13" s="666"/>
      <c r="AI13" s="899"/>
      <c r="AJ13" s="887" t="s">
        <v>805</v>
      </c>
      <c r="AK13" s="978">
        <v>0</v>
      </c>
      <c r="AL13" s="687">
        <f>VLOOKUP(AJ13,Düngemittel!$B$6:$E$64,2,FALSE)*(VLOOKUP(AJ13,Düngemittel!$B$6:$E$64,3,FALSE))/100*AK13</f>
        <v>0</v>
      </c>
      <c r="AM13" s="687">
        <f>VLOOKUP(AJ13,Düngemittel!$B$6:$E$64,2,FALSE)*AK13</f>
        <v>0</v>
      </c>
      <c r="AN13" s="687">
        <f>VLOOKUP(AJ13,Düngemittel!$B$6:$E$64,4,FALSE)*AK13</f>
        <v>0</v>
      </c>
      <c r="AO13" s="666"/>
      <c r="AP13" s="899"/>
      <c r="AQ13" s="887" t="s">
        <v>805</v>
      </c>
      <c r="AR13" s="978">
        <v>0</v>
      </c>
      <c r="AS13" s="687">
        <f>VLOOKUP(AQ13,Düngemittel!$B$6:$E$64,2,FALSE)*(VLOOKUP(AQ13,Düngemittel!$B$6:$E$64,3,FALSE))/100*AR13</f>
        <v>0</v>
      </c>
      <c r="AT13" s="687">
        <f>VLOOKUP(AQ13,Düngemittel!$B$6:$E$64,2,FALSE)*AR13</f>
        <v>0</v>
      </c>
      <c r="AU13" s="687">
        <f>VLOOKUP(AQ13,Düngemittel!$B$6:$E$64,4,FALSE)*AR13</f>
        <v>0</v>
      </c>
      <c r="AV13" s="666"/>
      <c r="AW13" s="899"/>
      <c r="AX13" s="887" t="s">
        <v>805</v>
      </c>
      <c r="AY13" s="978">
        <v>0</v>
      </c>
      <c r="AZ13" s="687">
        <f>VLOOKUP(AX13,Düngemittel!$B$6:$E$64,2,FALSE)*(VLOOKUP(AX13,Düngemittel!$B$6:$E$64,3,FALSE))/100*AY13</f>
        <v>0</v>
      </c>
      <c r="BA13" s="687">
        <f>VLOOKUP(AX13,Düngemittel!$B$6:$E$64,2,FALSE)*AY13</f>
        <v>0</v>
      </c>
      <c r="BB13" s="774">
        <f>VLOOKUP(AX13,Düngemittel!$B$6:$E$64,4,FALSE)*AY13</f>
        <v>0</v>
      </c>
      <c r="BC13" s="666"/>
      <c r="BD13" s="853">
        <f t="shared" si="3"/>
        <v>0</v>
      </c>
      <c r="BE13" s="308">
        <f t="shared" si="4"/>
        <v>0</v>
      </c>
      <c r="BF13" s="853">
        <f t="shared" si="5"/>
        <v>0</v>
      </c>
      <c r="BG13" s="777">
        <f t="shared" si="6"/>
        <v>0</v>
      </c>
      <c r="BH13" s="308">
        <f t="shared" si="7"/>
        <v>0</v>
      </c>
      <c r="BI13" s="785"/>
      <c r="BJ13" s="853">
        <f t="shared" si="14"/>
        <v>0</v>
      </c>
      <c r="BK13" s="853">
        <f t="shared" si="15"/>
        <v>0</v>
      </c>
      <c r="BL13" s="853">
        <f t="shared" si="16"/>
        <v>0</v>
      </c>
      <c r="BM13" s="853">
        <f t="shared" si="17"/>
        <v>0</v>
      </c>
      <c r="BN13" s="853">
        <f t="shared" si="18"/>
        <v>0</v>
      </c>
      <c r="BO13" s="16"/>
      <c r="BP13" s="16"/>
      <c r="BQ13" s="984">
        <f t="shared" si="19"/>
        <v>6</v>
      </c>
      <c r="BR13" s="985">
        <f t="shared" si="20"/>
        <v>0</v>
      </c>
      <c r="BS13" s="919"/>
      <c r="BT13" s="974"/>
      <c r="BU13" s="918"/>
      <c r="BV13" s="918"/>
      <c r="BW13" s="918"/>
      <c r="BX13" s="774">
        <f t="shared" si="21"/>
        <v>0</v>
      </c>
      <c r="BY13" s="919"/>
      <c r="BZ13" s="974"/>
      <c r="CA13" s="918"/>
      <c r="CB13" s="918"/>
      <c r="CC13" s="918"/>
      <c r="CD13" s="774">
        <f t="shared" si="22"/>
        <v>0</v>
      </c>
      <c r="CE13" s="919"/>
      <c r="CF13" s="974"/>
      <c r="CG13" s="918"/>
      <c r="CH13" s="918"/>
      <c r="CI13" s="918"/>
      <c r="CJ13" s="774">
        <f t="shared" si="23"/>
        <v>0</v>
      </c>
      <c r="CK13" s="915"/>
    </row>
    <row r="14" spans="1:93" ht="23.25" customHeight="1" x14ac:dyDescent="0.25">
      <c r="A14" s="342">
        <v>7</v>
      </c>
      <c r="B14" s="1222">
        <v>0</v>
      </c>
      <c r="C14" s="451"/>
      <c r="D14" s="418">
        <f t="shared" si="9"/>
        <v>100</v>
      </c>
      <c r="E14" s="918">
        <v>0</v>
      </c>
      <c r="F14" s="1234">
        <v>0</v>
      </c>
      <c r="G14" s="1065">
        <v>0</v>
      </c>
      <c r="H14" s="1225">
        <v>0</v>
      </c>
      <c r="I14" s="421">
        <f t="shared" si="10"/>
        <v>0</v>
      </c>
      <c r="J14" s="492" t="s">
        <v>90</v>
      </c>
      <c r="K14" s="423">
        <f t="shared" si="0"/>
        <v>0</v>
      </c>
      <c r="L14" s="494" t="s">
        <v>240</v>
      </c>
      <c r="M14" s="425">
        <f t="shared" si="1"/>
        <v>10</v>
      </c>
      <c r="N14" s="1229"/>
      <c r="O14" s="585">
        <f t="shared" si="11"/>
        <v>0</v>
      </c>
      <c r="P14" s="583">
        <f t="shared" si="2"/>
        <v>0</v>
      </c>
      <c r="Q14" s="499">
        <f t="shared" si="12"/>
        <v>0</v>
      </c>
      <c r="R14" s="409">
        <f t="shared" si="13"/>
        <v>0</v>
      </c>
      <c r="S14" s="16"/>
      <c r="T14" s="958">
        <f t="shared" si="24"/>
        <v>7</v>
      </c>
      <c r="U14" s="899"/>
      <c r="V14" s="887" t="s">
        <v>805</v>
      </c>
      <c r="W14" s="978">
        <v>0</v>
      </c>
      <c r="X14" s="687">
        <f>VLOOKUP(V14,Düngemittel!$B$6:$E$64,2,FALSE)*(VLOOKUP(V14,Düngemittel!$B$6:$E$64,3,FALSE))/100*W14</f>
        <v>0</v>
      </c>
      <c r="Y14" s="687">
        <f>VLOOKUP(V14,Düngemittel!$B$6:$E$64,2,FALSE)*W14</f>
        <v>0</v>
      </c>
      <c r="Z14" s="687">
        <f>VLOOKUP(V14,Düngemittel!$B$6:$E$64,4,FALSE)*W14</f>
        <v>0</v>
      </c>
      <c r="AA14" s="666"/>
      <c r="AB14" s="899"/>
      <c r="AC14" s="887" t="s">
        <v>805</v>
      </c>
      <c r="AD14" s="978">
        <v>0</v>
      </c>
      <c r="AE14" s="687">
        <f>VLOOKUP(AC14,Düngemittel!$B$6:$E$64,2,FALSE)*(VLOOKUP(AC14,Düngemittel!$B$6:$E$64,3,FALSE))/100*AD14</f>
        <v>0</v>
      </c>
      <c r="AF14" s="687">
        <f>VLOOKUP(AC14,Düngemittel!$B$6:$E$64,2,FALSE)*AD14</f>
        <v>0</v>
      </c>
      <c r="AG14" s="687">
        <f>VLOOKUP(AC14,Düngemittel!$B$6:$E$64,4,FALSE)*AD14</f>
        <v>0</v>
      </c>
      <c r="AH14" s="666"/>
      <c r="AI14" s="899"/>
      <c r="AJ14" s="887" t="s">
        <v>805</v>
      </c>
      <c r="AK14" s="978">
        <v>0</v>
      </c>
      <c r="AL14" s="687">
        <f>VLOOKUP(AJ14,Düngemittel!$B$6:$E$64,2,FALSE)*(VLOOKUP(AJ14,Düngemittel!$B$6:$E$64,3,FALSE))/100*AK14</f>
        <v>0</v>
      </c>
      <c r="AM14" s="687">
        <f>VLOOKUP(AJ14,Düngemittel!$B$6:$E$64,2,FALSE)*AK14</f>
        <v>0</v>
      </c>
      <c r="AN14" s="687">
        <f>VLOOKUP(AJ14,Düngemittel!$B$6:$E$64,4,FALSE)*AK14</f>
        <v>0</v>
      </c>
      <c r="AO14" s="666"/>
      <c r="AP14" s="899"/>
      <c r="AQ14" s="887" t="s">
        <v>805</v>
      </c>
      <c r="AR14" s="978">
        <v>0</v>
      </c>
      <c r="AS14" s="687">
        <f>VLOOKUP(AQ14,Düngemittel!$B$6:$E$64,2,FALSE)*(VLOOKUP(AQ14,Düngemittel!$B$6:$E$64,3,FALSE))/100*AR14</f>
        <v>0</v>
      </c>
      <c r="AT14" s="687">
        <f>VLOOKUP(AQ14,Düngemittel!$B$6:$E$64,2,FALSE)*AR14</f>
        <v>0</v>
      </c>
      <c r="AU14" s="687">
        <f>VLOOKUP(AQ14,Düngemittel!$B$6:$E$64,4,FALSE)*AR14</f>
        <v>0</v>
      </c>
      <c r="AV14" s="666"/>
      <c r="AW14" s="899"/>
      <c r="AX14" s="887" t="s">
        <v>805</v>
      </c>
      <c r="AY14" s="978">
        <v>0</v>
      </c>
      <c r="AZ14" s="687">
        <f>VLOOKUP(AX14,Düngemittel!$B$6:$E$64,2,FALSE)*(VLOOKUP(AX14,Düngemittel!$B$6:$E$64,3,FALSE))/100*AY14</f>
        <v>0</v>
      </c>
      <c r="BA14" s="687">
        <f>VLOOKUP(AX14,Düngemittel!$B$6:$E$64,2,FALSE)*AY14</f>
        <v>0</v>
      </c>
      <c r="BB14" s="774">
        <f>VLOOKUP(AX14,Düngemittel!$B$6:$E$64,4,FALSE)*AY14</f>
        <v>0</v>
      </c>
      <c r="BC14" s="666"/>
      <c r="BD14" s="853">
        <f t="shared" si="3"/>
        <v>0</v>
      </c>
      <c r="BE14" s="308">
        <f t="shared" si="4"/>
        <v>0</v>
      </c>
      <c r="BF14" s="853">
        <f t="shared" si="5"/>
        <v>0</v>
      </c>
      <c r="BG14" s="777">
        <f t="shared" si="6"/>
        <v>0</v>
      </c>
      <c r="BH14" s="308">
        <f t="shared" si="7"/>
        <v>0</v>
      </c>
      <c r="BI14" s="785"/>
      <c r="BJ14" s="853">
        <f t="shared" si="14"/>
        <v>0</v>
      </c>
      <c r="BK14" s="853">
        <f t="shared" si="15"/>
        <v>0</v>
      </c>
      <c r="BL14" s="853">
        <f t="shared" si="16"/>
        <v>0</v>
      </c>
      <c r="BM14" s="853">
        <f t="shared" si="17"/>
        <v>0</v>
      </c>
      <c r="BN14" s="853">
        <f t="shared" si="18"/>
        <v>0</v>
      </c>
      <c r="BO14" s="16"/>
      <c r="BP14" s="16"/>
      <c r="BQ14" s="984">
        <f t="shared" si="19"/>
        <v>7</v>
      </c>
      <c r="BR14" s="985">
        <f t="shared" si="20"/>
        <v>0</v>
      </c>
      <c r="BS14" s="919"/>
      <c r="BT14" s="974"/>
      <c r="BU14" s="918"/>
      <c r="BV14" s="918"/>
      <c r="BW14" s="918"/>
      <c r="BX14" s="774">
        <f t="shared" si="21"/>
        <v>0</v>
      </c>
      <c r="BY14" s="919"/>
      <c r="BZ14" s="974"/>
      <c r="CA14" s="918"/>
      <c r="CB14" s="918"/>
      <c r="CC14" s="918"/>
      <c r="CD14" s="774">
        <f t="shared" si="22"/>
        <v>0</v>
      </c>
      <c r="CE14" s="919"/>
      <c r="CF14" s="974"/>
      <c r="CG14" s="918"/>
      <c r="CH14" s="918"/>
      <c r="CI14" s="918"/>
      <c r="CJ14" s="774">
        <f t="shared" si="23"/>
        <v>0</v>
      </c>
      <c r="CK14" s="915"/>
    </row>
    <row r="15" spans="1:93" ht="23.25" customHeight="1" x14ac:dyDescent="0.25">
      <c r="A15" s="342">
        <v>8</v>
      </c>
      <c r="B15" s="1222">
        <v>0</v>
      </c>
      <c r="C15" s="451"/>
      <c r="D15" s="418">
        <f t="shared" si="9"/>
        <v>100</v>
      </c>
      <c r="E15" s="918">
        <v>0</v>
      </c>
      <c r="F15" s="1234">
        <v>0</v>
      </c>
      <c r="G15" s="1065">
        <v>0</v>
      </c>
      <c r="H15" s="1225">
        <v>0</v>
      </c>
      <c r="I15" s="421">
        <f t="shared" si="10"/>
        <v>0</v>
      </c>
      <c r="J15" s="492" t="s">
        <v>90</v>
      </c>
      <c r="K15" s="423">
        <f t="shared" si="0"/>
        <v>0</v>
      </c>
      <c r="L15" s="494" t="s">
        <v>240</v>
      </c>
      <c r="M15" s="425">
        <f t="shared" si="1"/>
        <v>10</v>
      </c>
      <c r="N15" s="1229"/>
      <c r="O15" s="585">
        <f t="shared" si="11"/>
        <v>0</v>
      </c>
      <c r="P15" s="583">
        <f t="shared" si="2"/>
        <v>0</v>
      </c>
      <c r="Q15" s="499">
        <f t="shared" si="12"/>
        <v>0</v>
      </c>
      <c r="R15" s="409">
        <f t="shared" si="13"/>
        <v>0</v>
      </c>
      <c r="S15" s="16"/>
      <c r="T15" s="958">
        <f t="shared" si="24"/>
        <v>8</v>
      </c>
      <c r="U15" s="899"/>
      <c r="V15" s="887" t="s">
        <v>805</v>
      </c>
      <c r="W15" s="978">
        <v>0</v>
      </c>
      <c r="X15" s="687">
        <f>VLOOKUP(V15,Düngemittel!$B$6:$E$64,2,FALSE)*(VLOOKUP(V15,Düngemittel!$B$6:$E$64,3,FALSE))/100*W15</f>
        <v>0</v>
      </c>
      <c r="Y15" s="687">
        <f>VLOOKUP(V15,Düngemittel!$B$6:$E$64,2,FALSE)*W15</f>
        <v>0</v>
      </c>
      <c r="Z15" s="687">
        <f>VLOOKUP(V15,Düngemittel!$B$6:$E$64,4,FALSE)*W15</f>
        <v>0</v>
      </c>
      <c r="AA15" s="666"/>
      <c r="AB15" s="899"/>
      <c r="AC15" s="887" t="s">
        <v>805</v>
      </c>
      <c r="AD15" s="978">
        <v>0</v>
      </c>
      <c r="AE15" s="687">
        <f>VLOOKUP(AC15,Düngemittel!$B$6:$E$64,2,FALSE)*(VLOOKUP(AC15,Düngemittel!$B$6:$E$64,3,FALSE))/100*AD15</f>
        <v>0</v>
      </c>
      <c r="AF15" s="687">
        <f>VLOOKUP(AC15,Düngemittel!$B$6:$E$64,2,FALSE)*AD15</f>
        <v>0</v>
      </c>
      <c r="AG15" s="687">
        <f>VLOOKUP(AC15,Düngemittel!$B$6:$E$64,4,FALSE)*AD15</f>
        <v>0</v>
      </c>
      <c r="AH15" s="666"/>
      <c r="AI15" s="899"/>
      <c r="AJ15" s="887" t="s">
        <v>805</v>
      </c>
      <c r="AK15" s="978">
        <v>0</v>
      </c>
      <c r="AL15" s="687">
        <f>VLOOKUP(AJ15,Düngemittel!$B$6:$E$64,2,FALSE)*(VLOOKUP(AJ15,Düngemittel!$B$6:$E$64,3,FALSE))/100*AK15</f>
        <v>0</v>
      </c>
      <c r="AM15" s="687">
        <f>VLOOKUP(AJ15,Düngemittel!$B$6:$E$64,2,FALSE)*AK15</f>
        <v>0</v>
      </c>
      <c r="AN15" s="687">
        <f>VLOOKUP(AJ15,Düngemittel!$B$6:$E$64,4,FALSE)*AK15</f>
        <v>0</v>
      </c>
      <c r="AO15" s="666"/>
      <c r="AP15" s="899"/>
      <c r="AQ15" s="887" t="s">
        <v>805</v>
      </c>
      <c r="AR15" s="978">
        <v>0</v>
      </c>
      <c r="AS15" s="687">
        <f>VLOOKUP(AQ15,Düngemittel!$B$6:$E$64,2,FALSE)*(VLOOKUP(AQ15,Düngemittel!$B$6:$E$64,3,FALSE))/100*AR15</f>
        <v>0</v>
      </c>
      <c r="AT15" s="687">
        <f>VLOOKUP(AQ15,Düngemittel!$B$6:$E$64,2,FALSE)*AR15</f>
        <v>0</v>
      </c>
      <c r="AU15" s="687">
        <f>VLOOKUP(AQ15,Düngemittel!$B$6:$E$64,4,FALSE)*AR15</f>
        <v>0</v>
      </c>
      <c r="AV15" s="666"/>
      <c r="AW15" s="899"/>
      <c r="AX15" s="887" t="s">
        <v>805</v>
      </c>
      <c r="AY15" s="978">
        <v>0</v>
      </c>
      <c r="AZ15" s="687">
        <f>VLOOKUP(AX15,Düngemittel!$B$6:$E$64,2,FALSE)*(VLOOKUP(AX15,Düngemittel!$B$6:$E$64,3,FALSE))/100*AY15</f>
        <v>0</v>
      </c>
      <c r="BA15" s="687">
        <f>VLOOKUP(AX15,Düngemittel!$B$6:$E$64,2,FALSE)*AY15</f>
        <v>0</v>
      </c>
      <c r="BB15" s="774">
        <f>VLOOKUP(AX15,Düngemittel!$B$6:$E$64,4,FALSE)*AY15</f>
        <v>0</v>
      </c>
      <c r="BC15" s="666"/>
      <c r="BD15" s="853">
        <f t="shared" si="3"/>
        <v>0</v>
      </c>
      <c r="BE15" s="308">
        <f t="shared" si="4"/>
        <v>0</v>
      </c>
      <c r="BF15" s="853">
        <f t="shared" si="5"/>
        <v>0</v>
      </c>
      <c r="BG15" s="777">
        <f t="shared" si="6"/>
        <v>0</v>
      </c>
      <c r="BH15" s="308">
        <f t="shared" si="7"/>
        <v>0</v>
      </c>
      <c r="BI15" s="785"/>
      <c r="BJ15" s="853">
        <f t="shared" si="14"/>
        <v>0</v>
      </c>
      <c r="BK15" s="853">
        <f t="shared" si="15"/>
        <v>0</v>
      </c>
      <c r="BL15" s="853">
        <f t="shared" si="16"/>
        <v>0</v>
      </c>
      <c r="BM15" s="853">
        <f t="shared" si="17"/>
        <v>0</v>
      </c>
      <c r="BN15" s="853">
        <f t="shared" si="18"/>
        <v>0</v>
      </c>
      <c r="BO15" s="16"/>
      <c r="BP15" s="16"/>
      <c r="BQ15" s="984">
        <f t="shared" si="19"/>
        <v>8</v>
      </c>
      <c r="BR15" s="985">
        <f t="shared" si="20"/>
        <v>0</v>
      </c>
      <c r="BS15" s="919"/>
      <c r="BT15" s="974"/>
      <c r="BU15" s="918"/>
      <c r="BV15" s="918"/>
      <c r="BW15" s="918"/>
      <c r="BX15" s="774">
        <f t="shared" si="21"/>
        <v>0</v>
      </c>
      <c r="BY15" s="919"/>
      <c r="BZ15" s="974"/>
      <c r="CA15" s="918"/>
      <c r="CB15" s="918"/>
      <c r="CC15" s="918"/>
      <c r="CD15" s="774">
        <f t="shared" si="22"/>
        <v>0</v>
      </c>
      <c r="CE15" s="919"/>
      <c r="CF15" s="974"/>
      <c r="CG15" s="918"/>
      <c r="CH15" s="918"/>
      <c r="CI15" s="918"/>
      <c r="CJ15" s="774">
        <f t="shared" si="23"/>
        <v>0</v>
      </c>
      <c r="CK15" s="915"/>
    </row>
    <row r="16" spans="1:93" ht="23.25" customHeight="1" x14ac:dyDescent="0.25">
      <c r="A16" s="342">
        <v>9</v>
      </c>
      <c r="B16" s="1222">
        <v>0</v>
      </c>
      <c r="C16" s="451"/>
      <c r="D16" s="418">
        <f t="shared" si="9"/>
        <v>100</v>
      </c>
      <c r="E16" s="918">
        <v>0</v>
      </c>
      <c r="F16" s="1234">
        <v>0</v>
      </c>
      <c r="G16" s="1065">
        <v>0</v>
      </c>
      <c r="H16" s="1225">
        <v>0</v>
      </c>
      <c r="I16" s="421">
        <f t="shared" si="10"/>
        <v>0</v>
      </c>
      <c r="J16" s="492" t="s">
        <v>90</v>
      </c>
      <c r="K16" s="423">
        <f t="shared" si="0"/>
        <v>0</v>
      </c>
      <c r="L16" s="494" t="s">
        <v>240</v>
      </c>
      <c r="M16" s="425">
        <f t="shared" si="1"/>
        <v>10</v>
      </c>
      <c r="N16" s="1229"/>
      <c r="O16" s="585">
        <f t="shared" si="11"/>
        <v>0</v>
      </c>
      <c r="P16" s="583">
        <f t="shared" si="2"/>
        <v>0</v>
      </c>
      <c r="Q16" s="499">
        <f t="shared" si="12"/>
        <v>0</v>
      </c>
      <c r="R16" s="409">
        <f t="shared" si="13"/>
        <v>0</v>
      </c>
      <c r="S16" s="16"/>
      <c r="T16" s="958">
        <f t="shared" si="24"/>
        <v>9</v>
      </c>
      <c r="U16" s="899"/>
      <c r="V16" s="887" t="s">
        <v>805</v>
      </c>
      <c r="W16" s="978">
        <v>0</v>
      </c>
      <c r="X16" s="687">
        <f>VLOOKUP(V16,Düngemittel!$B$6:$E$64,2,FALSE)*(VLOOKUP(V16,Düngemittel!$B$6:$E$64,3,FALSE))/100*W16</f>
        <v>0</v>
      </c>
      <c r="Y16" s="687">
        <f>VLOOKUP(V16,Düngemittel!$B$6:$E$64,2,FALSE)*W16</f>
        <v>0</v>
      </c>
      <c r="Z16" s="687">
        <f>VLOOKUP(V16,Düngemittel!$B$6:$E$64,4,FALSE)*W16</f>
        <v>0</v>
      </c>
      <c r="AA16" s="666"/>
      <c r="AB16" s="899"/>
      <c r="AC16" s="887" t="s">
        <v>805</v>
      </c>
      <c r="AD16" s="978">
        <v>0</v>
      </c>
      <c r="AE16" s="687">
        <f>VLOOKUP(AC16,Düngemittel!$B$6:$E$64,2,FALSE)*(VLOOKUP(AC16,Düngemittel!$B$6:$E$64,3,FALSE))/100*AD16</f>
        <v>0</v>
      </c>
      <c r="AF16" s="687">
        <f>VLOOKUP(AC16,Düngemittel!$B$6:$E$64,2,FALSE)*AD16</f>
        <v>0</v>
      </c>
      <c r="AG16" s="687">
        <f>VLOOKUP(AC16,Düngemittel!$B$6:$E$64,4,FALSE)*AD16</f>
        <v>0</v>
      </c>
      <c r="AH16" s="666"/>
      <c r="AI16" s="899"/>
      <c r="AJ16" s="887" t="s">
        <v>805</v>
      </c>
      <c r="AK16" s="978">
        <v>0</v>
      </c>
      <c r="AL16" s="687">
        <f>VLOOKUP(AJ16,Düngemittel!$B$6:$E$64,2,FALSE)*(VLOOKUP(AJ16,Düngemittel!$B$6:$E$64,3,FALSE))/100*AK16</f>
        <v>0</v>
      </c>
      <c r="AM16" s="687">
        <f>VLOOKUP(AJ16,Düngemittel!$B$6:$E$64,2,FALSE)*AK16</f>
        <v>0</v>
      </c>
      <c r="AN16" s="687">
        <f>VLOOKUP(AJ16,Düngemittel!$B$6:$E$64,4,FALSE)*AK16</f>
        <v>0</v>
      </c>
      <c r="AO16" s="666"/>
      <c r="AP16" s="899"/>
      <c r="AQ16" s="887" t="s">
        <v>805</v>
      </c>
      <c r="AR16" s="978">
        <v>0</v>
      </c>
      <c r="AS16" s="687">
        <f>VLOOKUP(AQ16,Düngemittel!$B$6:$E$64,2,FALSE)*(VLOOKUP(AQ16,Düngemittel!$B$6:$E$64,3,FALSE))/100*AR16</f>
        <v>0</v>
      </c>
      <c r="AT16" s="687">
        <f>VLOOKUP(AQ16,Düngemittel!$B$6:$E$64,2,FALSE)*AR16</f>
        <v>0</v>
      </c>
      <c r="AU16" s="687">
        <f>VLOOKUP(AQ16,Düngemittel!$B$6:$E$64,4,FALSE)*AR16</f>
        <v>0</v>
      </c>
      <c r="AV16" s="666"/>
      <c r="AW16" s="899"/>
      <c r="AX16" s="887" t="s">
        <v>805</v>
      </c>
      <c r="AY16" s="978">
        <v>0</v>
      </c>
      <c r="AZ16" s="687">
        <f>VLOOKUP(AX16,Düngemittel!$B$6:$E$64,2,FALSE)*(VLOOKUP(AX16,Düngemittel!$B$6:$E$64,3,FALSE))/100*AY16</f>
        <v>0</v>
      </c>
      <c r="BA16" s="687">
        <f>VLOOKUP(AX16,Düngemittel!$B$6:$E$64,2,FALSE)*AY16</f>
        <v>0</v>
      </c>
      <c r="BB16" s="774">
        <f>VLOOKUP(AX16,Düngemittel!$B$6:$E$64,4,FALSE)*AY16</f>
        <v>0</v>
      </c>
      <c r="BC16" s="666"/>
      <c r="BD16" s="853">
        <f t="shared" si="3"/>
        <v>0</v>
      </c>
      <c r="BE16" s="308">
        <f t="shared" si="4"/>
        <v>0</v>
      </c>
      <c r="BF16" s="853">
        <f t="shared" si="5"/>
        <v>0</v>
      </c>
      <c r="BG16" s="777">
        <f t="shared" si="6"/>
        <v>0</v>
      </c>
      <c r="BH16" s="308">
        <f t="shared" si="7"/>
        <v>0</v>
      </c>
      <c r="BI16" s="785"/>
      <c r="BJ16" s="853">
        <f t="shared" si="14"/>
        <v>0</v>
      </c>
      <c r="BK16" s="853">
        <f t="shared" si="15"/>
        <v>0</v>
      </c>
      <c r="BL16" s="853">
        <f t="shared" si="16"/>
        <v>0</v>
      </c>
      <c r="BM16" s="853">
        <f t="shared" si="17"/>
        <v>0</v>
      </c>
      <c r="BN16" s="853">
        <f t="shared" si="18"/>
        <v>0</v>
      </c>
      <c r="BO16" s="16"/>
      <c r="BP16" s="16"/>
      <c r="BQ16" s="984">
        <f t="shared" si="19"/>
        <v>9</v>
      </c>
      <c r="BR16" s="985">
        <f t="shared" si="20"/>
        <v>0</v>
      </c>
      <c r="BS16" s="919"/>
      <c r="BT16" s="974"/>
      <c r="BU16" s="918"/>
      <c r="BV16" s="918"/>
      <c r="BW16" s="918"/>
      <c r="BX16" s="774">
        <f t="shared" si="21"/>
        <v>0</v>
      </c>
      <c r="BY16" s="919"/>
      <c r="BZ16" s="974"/>
      <c r="CA16" s="918"/>
      <c r="CB16" s="918"/>
      <c r="CC16" s="918"/>
      <c r="CD16" s="774">
        <f t="shared" si="22"/>
        <v>0</v>
      </c>
      <c r="CE16" s="919"/>
      <c r="CF16" s="974"/>
      <c r="CG16" s="918"/>
      <c r="CH16" s="918"/>
      <c r="CI16" s="918"/>
      <c r="CJ16" s="774">
        <f t="shared" si="23"/>
        <v>0</v>
      </c>
      <c r="CK16" s="916"/>
      <c r="CL16" s="352"/>
      <c r="CM16" s="355" t="s">
        <v>84</v>
      </c>
      <c r="CN16" s="354"/>
    </row>
    <row r="17" spans="1:92" ht="23.25" customHeight="1" x14ac:dyDescent="0.25">
      <c r="A17" s="342">
        <v>10</v>
      </c>
      <c r="B17" s="1222">
        <v>0</v>
      </c>
      <c r="C17" s="451"/>
      <c r="D17" s="418">
        <f t="shared" si="9"/>
        <v>100</v>
      </c>
      <c r="E17" s="918">
        <v>0</v>
      </c>
      <c r="F17" s="1234">
        <v>0</v>
      </c>
      <c r="G17" s="1065">
        <v>0</v>
      </c>
      <c r="H17" s="1225">
        <v>0</v>
      </c>
      <c r="I17" s="421">
        <f t="shared" si="10"/>
        <v>0</v>
      </c>
      <c r="J17" s="492" t="s">
        <v>90</v>
      </c>
      <c r="K17" s="423">
        <f t="shared" si="0"/>
        <v>0</v>
      </c>
      <c r="L17" s="494" t="s">
        <v>240</v>
      </c>
      <c r="M17" s="425">
        <f t="shared" si="1"/>
        <v>10</v>
      </c>
      <c r="N17" s="1229"/>
      <c r="O17" s="585">
        <f t="shared" si="11"/>
        <v>0</v>
      </c>
      <c r="P17" s="583">
        <f t="shared" si="2"/>
        <v>0</v>
      </c>
      <c r="Q17" s="499">
        <f t="shared" si="12"/>
        <v>0</v>
      </c>
      <c r="R17" s="409">
        <f t="shared" si="13"/>
        <v>0</v>
      </c>
      <c r="S17" s="16"/>
      <c r="T17" s="958">
        <f t="shared" si="24"/>
        <v>10</v>
      </c>
      <c r="U17" s="899"/>
      <c r="V17" s="887" t="s">
        <v>805</v>
      </c>
      <c r="W17" s="978">
        <v>0</v>
      </c>
      <c r="X17" s="687">
        <f>VLOOKUP(V17,Düngemittel!$B$6:$E$64,2,FALSE)*(VLOOKUP(V17,Düngemittel!$B$6:$E$64,3,FALSE))/100*W17</f>
        <v>0</v>
      </c>
      <c r="Y17" s="687">
        <f>VLOOKUP(V17,Düngemittel!$B$6:$E$64,2,FALSE)*W17</f>
        <v>0</v>
      </c>
      <c r="Z17" s="687">
        <f>VLOOKUP(V17,Düngemittel!$B$6:$E$64,4,FALSE)*W17</f>
        <v>0</v>
      </c>
      <c r="AA17" s="666"/>
      <c r="AB17" s="899"/>
      <c r="AC17" s="887" t="s">
        <v>805</v>
      </c>
      <c r="AD17" s="978">
        <v>0</v>
      </c>
      <c r="AE17" s="687">
        <f>VLOOKUP(AC17,Düngemittel!$B$6:$E$64,2,FALSE)*(VLOOKUP(AC17,Düngemittel!$B$6:$E$64,3,FALSE))/100*AD17</f>
        <v>0</v>
      </c>
      <c r="AF17" s="687">
        <f>VLOOKUP(AC17,Düngemittel!$B$6:$E$64,2,FALSE)*AD17</f>
        <v>0</v>
      </c>
      <c r="AG17" s="687">
        <f>VLOOKUP(AC17,Düngemittel!$B$6:$E$64,4,FALSE)*AD17</f>
        <v>0</v>
      </c>
      <c r="AH17" s="666"/>
      <c r="AI17" s="899"/>
      <c r="AJ17" s="887" t="s">
        <v>805</v>
      </c>
      <c r="AK17" s="978">
        <v>0</v>
      </c>
      <c r="AL17" s="687">
        <f>VLOOKUP(AJ17,Düngemittel!$B$6:$E$64,2,FALSE)*(VLOOKUP(AJ17,Düngemittel!$B$6:$E$64,3,FALSE))/100*AK17</f>
        <v>0</v>
      </c>
      <c r="AM17" s="687">
        <f>VLOOKUP(AJ17,Düngemittel!$B$6:$E$64,2,FALSE)*AK17</f>
        <v>0</v>
      </c>
      <c r="AN17" s="687">
        <f>VLOOKUP(AJ17,Düngemittel!$B$6:$E$64,4,FALSE)*AK17</f>
        <v>0</v>
      </c>
      <c r="AO17" s="666"/>
      <c r="AP17" s="899"/>
      <c r="AQ17" s="887" t="s">
        <v>805</v>
      </c>
      <c r="AR17" s="978">
        <v>0</v>
      </c>
      <c r="AS17" s="687">
        <f>VLOOKUP(AQ17,Düngemittel!$B$6:$E$64,2,FALSE)*(VLOOKUP(AQ17,Düngemittel!$B$6:$E$64,3,FALSE))/100*AR17</f>
        <v>0</v>
      </c>
      <c r="AT17" s="687">
        <f>VLOOKUP(AQ17,Düngemittel!$B$6:$E$64,2,FALSE)*AR17</f>
        <v>0</v>
      </c>
      <c r="AU17" s="687">
        <f>VLOOKUP(AQ17,Düngemittel!$B$6:$E$64,4,FALSE)*AR17</f>
        <v>0</v>
      </c>
      <c r="AV17" s="666"/>
      <c r="AW17" s="899"/>
      <c r="AX17" s="887" t="s">
        <v>805</v>
      </c>
      <c r="AY17" s="978">
        <v>0</v>
      </c>
      <c r="AZ17" s="687">
        <f>VLOOKUP(AX17,Düngemittel!$B$6:$E$64,2,FALSE)*(VLOOKUP(AX17,Düngemittel!$B$6:$E$64,3,FALSE))/100*AY17</f>
        <v>0</v>
      </c>
      <c r="BA17" s="687">
        <f>VLOOKUP(AX17,Düngemittel!$B$6:$E$64,2,FALSE)*AY17</f>
        <v>0</v>
      </c>
      <c r="BB17" s="774">
        <f>VLOOKUP(AX17,Düngemittel!$B$6:$E$64,4,FALSE)*AY17</f>
        <v>0</v>
      </c>
      <c r="BC17" s="666"/>
      <c r="BD17" s="853">
        <f t="shared" si="3"/>
        <v>0</v>
      </c>
      <c r="BE17" s="308">
        <f t="shared" si="4"/>
        <v>0</v>
      </c>
      <c r="BF17" s="853">
        <f t="shared" si="5"/>
        <v>0</v>
      </c>
      <c r="BG17" s="777">
        <f t="shared" si="6"/>
        <v>0</v>
      </c>
      <c r="BH17" s="308">
        <f t="shared" si="7"/>
        <v>0</v>
      </c>
      <c r="BI17" s="785"/>
      <c r="BJ17" s="853">
        <f t="shared" si="14"/>
        <v>0</v>
      </c>
      <c r="BK17" s="853">
        <f t="shared" si="15"/>
        <v>0</v>
      </c>
      <c r="BL17" s="853">
        <f t="shared" si="16"/>
        <v>0</v>
      </c>
      <c r="BM17" s="853">
        <f t="shared" si="17"/>
        <v>0</v>
      </c>
      <c r="BN17" s="853">
        <f t="shared" si="18"/>
        <v>0</v>
      </c>
      <c r="BO17" s="16"/>
      <c r="BP17" s="16"/>
      <c r="BQ17" s="984">
        <f t="shared" si="19"/>
        <v>10</v>
      </c>
      <c r="BR17" s="985">
        <f t="shared" si="20"/>
        <v>0</v>
      </c>
      <c r="BS17" s="919"/>
      <c r="BT17" s="974"/>
      <c r="BU17" s="918"/>
      <c r="BV17" s="918"/>
      <c r="BW17" s="918"/>
      <c r="BX17" s="774">
        <f t="shared" si="21"/>
        <v>0</v>
      </c>
      <c r="BY17" s="919"/>
      <c r="BZ17" s="974"/>
      <c r="CA17" s="918"/>
      <c r="CB17" s="918"/>
      <c r="CC17" s="918"/>
      <c r="CD17" s="774">
        <f t="shared" si="22"/>
        <v>0</v>
      </c>
      <c r="CE17" s="919"/>
      <c r="CF17" s="974"/>
      <c r="CG17" s="918"/>
      <c r="CH17" s="918"/>
      <c r="CI17" s="918"/>
      <c r="CJ17" s="774">
        <f t="shared" si="23"/>
        <v>0</v>
      </c>
      <c r="CK17" s="916"/>
      <c r="CL17" s="352"/>
      <c r="CM17" s="378" t="s">
        <v>90</v>
      </c>
      <c r="CN17" s="354">
        <v>0</v>
      </c>
    </row>
    <row r="18" spans="1:92" ht="23.25" customHeight="1" x14ac:dyDescent="0.25">
      <c r="A18" s="342">
        <v>11</v>
      </c>
      <c r="B18" s="1222">
        <v>0</v>
      </c>
      <c r="C18" s="451"/>
      <c r="D18" s="418">
        <f t="shared" si="9"/>
        <v>100</v>
      </c>
      <c r="E18" s="918">
        <v>0</v>
      </c>
      <c r="F18" s="1234">
        <v>0</v>
      </c>
      <c r="G18" s="1065">
        <v>0</v>
      </c>
      <c r="H18" s="1225">
        <v>0</v>
      </c>
      <c r="I18" s="421">
        <f t="shared" si="10"/>
        <v>0</v>
      </c>
      <c r="J18" s="492" t="s">
        <v>90</v>
      </c>
      <c r="K18" s="423">
        <f t="shared" si="0"/>
        <v>0</v>
      </c>
      <c r="L18" s="494" t="s">
        <v>240</v>
      </c>
      <c r="M18" s="425">
        <f t="shared" si="1"/>
        <v>10</v>
      </c>
      <c r="N18" s="1229"/>
      <c r="O18" s="585">
        <f t="shared" si="11"/>
        <v>0</v>
      </c>
      <c r="P18" s="583">
        <f t="shared" si="2"/>
        <v>0</v>
      </c>
      <c r="Q18" s="499">
        <f t="shared" si="12"/>
        <v>0</v>
      </c>
      <c r="R18" s="409">
        <f t="shared" si="13"/>
        <v>0</v>
      </c>
      <c r="S18" s="16"/>
      <c r="T18" s="958">
        <f t="shared" si="24"/>
        <v>11</v>
      </c>
      <c r="U18" s="899"/>
      <c r="V18" s="887" t="s">
        <v>805</v>
      </c>
      <c r="W18" s="978">
        <v>0</v>
      </c>
      <c r="X18" s="687">
        <f>VLOOKUP(V18,Düngemittel!$B$6:$E$64,2,FALSE)*(VLOOKUP(V18,Düngemittel!$B$6:$E$64,3,FALSE))/100*W18</f>
        <v>0</v>
      </c>
      <c r="Y18" s="687">
        <f>VLOOKUP(V18,Düngemittel!$B$6:$E$64,2,FALSE)*W18</f>
        <v>0</v>
      </c>
      <c r="Z18" s="687">
        <f>VLOOKUP(V18,Düngemittel!$B$6:$E$64,4,FALSE)*W18</f>
        <v>0</v>
      </c>
      <c r="AA18" s="666"/>
      <c r="AB18" s="899"/>
      <c r="AC18" s="887" t="s">
        <v>805</v>
      </c>
      <c r="AD18" s="978">
        <v>0</v>
      </c>
      <c r="AE18" s="687">
        <f>VLOOKUP(AC18,Düngemittel!$B$6:$E$64,2,FALSE)*(VLOOKUP(AC18,Düngemittel!$B$6:$E$64,3,FALSE))/100*AD18</f>
        <v>0</v>
      </c>
      <c r="AF18" s="687">
        <f>VLOOKUP(AC18,Düngemittel!$B$6:$E$64,2,FALSE)*AD18</f>
        <v>0</v>
      </c>
      <c r="AG18" s="687">
        <f>VLOOKUP(AC18,Düngemittel!$B$6:$E$64,4,FALSE)*AD18</f>
        <v>0</v>
      </c>
      <c r="AH18" s="666"/>
      <c r="AI18" s="899"/>
      <c r="AJ18" s="887" t="s">
        <v>805</v>
      </c>
      <c r="AK18" s="978">
        <v>0</v>
      </c>
      <c r="AL18" s="687">
        <f>VLOOKUP(AJ18,Düngemittel!$B$6:$E$64,2,FALSE)*(VLOOKUP(AJ18,Düngemittel!$B$6:$E$64,3,FALSE))/100*AK18</f>
        <v>0</v>
      </c>
      <c r="AM18" s="687">
        <f>VLOOKUP(AJ18,Düngemittel!$B$6:$E$64,2,FALSE)*AK18</f>
        <v>0</v>
      </c>
      <c r="AN18" s="687">
        <f>VLOOKUP(AJ18,Düngemittel!$B$6:$E$64,4,FALSE)*AK18</f>
        <v>0</v>
      </c>
      <c r="AO18" s="666"/>
      <c r="AP18" s="899"/>
      <c r="AQ18" s="887" t="s">
        <v>805</v>
      </c>
      <c r="AR18" s="978">
        <v>0</v>
      </c>
      <c r="AS18" s="687">
        <f>VLOOKUP(AQ18,Düngemittel!$B$6:$E$64,2,FALSE)*(VLOOKUP(AQ18,Düngemittel!$B$6:$E$64,3,FALSE))/100*AR18</f>
        <v>0</v>
      </c>
      <c r="AT18" s="687">
        <f>VLOOKUP(AQ18,Düngemittel!$B$6:$E$64,2,FALSE)*AR18</f>
        <v>0</v>
      </c>
      <c r="AU18" s="687">
        <f>VLOOKUP(AQ18,Düngemittel!$B$6:$E$64,4,FALSE)*AR18</f>
        <v>0</v>
      </c>
      <c r="AV18" s="666"/>
      <c r="AW18" s="899"/>
      <c r="AX18" s="887" t="s">
        <v>805</v>
      </c>
      <c r="AY18" s="978">
        <v>0</v>
      </c>
      <c r="AZ18" s="687">
        <f>VLOOKUP(AX18,Düngemittel!$B$6:$E$64,2,FALSE)*(VLOOKUP(AX18,Düngemittel!$B$6:$E$64,3,FALSE))/100*AY18</f>
        <v>0</v>
      </c>
      <c r="BA18" s="687">
        <f>VLOOKUP(AX18,Düngemittel!$B$6:$E$64,2,FALSE)*AY18</f>
        <v>0</v>
      </c>
      <c r="BB18" s="774">
        <f>VLOOKUP(AX18,Düngemittel!$B$6:$E$64,4,FALSE)*AY18</f>
        <v>0</v>
      </c>
      <c r="BC18" s="666"/>
      <c r="BD18" s="853">
        <f t="shared" si="3"/>
        <v>0</v>
      </c>
      <c r="BE18" s="308">
        <f t="shared" si="4"/>
        <v>0</v>
      </c>
      <c r="BF18" s="853">
        <f t="shared" si="5"/>
        <v>0</v>
      </c>
      <c r="BG18" s="777">
        <f t="shared" si="6"/>
        <v>0</v>
      </c>
      <c r="BH18" s="308">
        <f t="shared" si="7"/>
        <v>0</v>
      </c>
      <c r="BI18" s="785"/>
      <c r="BJ18" s="853">
        <f t="shared" si="14"/>
        <v>0</v>
      </c>
      <c r="BK18" s="853">
        <f t="shared" si="15"/>
        <v>0</v>
      </c>
      <c r="BL18" s="853">
        <f t="shared" si="16"/>
        <v>0</v>
      </c>
      <c r="BM18" s="853">
        <f t="shared" si="17"/>
        <v>0</v>
      </c>
      <c r="BN18" s="853">
        <f t="shared" si="18"/>
        <v>0</v>
      </c>
      <c r="BO18" s="16"/>
      <c r="BP18" s="16"/>
      <c r="BQ18" s="984">
        <f t="shared" si="19"/>
        <v>11</v>
      </c>
      <c r="BR18" s="985">
        <f t="shared" si="20"/>
        <v>0</v>
      </c>
      <c r="BS18" s="919"/>
      <c r="BT18" s="974"/>
      <c r="BU18" s="918"/>
      <c r="BV18" s="918"/>
      <c r="BW18" s="918"/>
      <c r="BX18" s="774">
        <f t="shared" si="21"/>
        <v>0</v>
      </c>
      <c r="BY18" s="919"/>
      <c r="BZ18" s="974"/>
      <c r="CA18" s="918"/>
      <c r="CB18" s="918"/>
      <c r="CC18" s="918"/>
      <c r="CD18" s="774">
        <f t="shared" si="22"/>
        <v>0</v>
      </c>
      <c r="CE18" s="919"/>
      <c r="CF18" s="974"/>
      <c r="CG18" s="918"/>
      <c r="CH18" s="918"/>
      <c r="CI18" s="918"/>
      <c r="CJ18" s="774">
        <f t="shared" si="23"/>
        <v>0</v>
      </c>
      <c r="CK18" s="916"/>
      <c r="CL18" s="352"/>
      <c r="CM18" s="378" t="s">
        <v>88</v>
      </c>
      <c r="CN18" s="354">
        <v>20</v>
      </c>
    </row>
    <row r="19" spans="1:92" ht="23.25" customHeight="1" x14ac:dyDescent="0.25">
      <c r="A19" s="342">
        <v>12</v>
      </c>
      <c r="B19" s="1222">
        <v>0</v>
      </c>
      <c r="C19" s="451"/>
      <c r="D19" s="418">
        <f t="shared" si="9"/>
        <v>100</v>
      </c>
      <c r="E19" s="918">
        <v>0</v>
      </c>
      <c r="F19" s="1234">
        <v>0</v>
      </c>
      <c r="G19" s="1065">
        <v>0</v>
      </c>
      <c r="H19" s="1225">
        <v>0</v>
      </c>
      <c r="I19" s="421">
        <f t="shared" si="10"/>
        <v>0</v>
      </c>
      <c r="J19" s="492" t="s">
        <v>90</v>
      </c>
      <c r="K19" s="423">
        <f t="shared" si="0"/>
        <v>0</v>
      </c>
      <c r="L19" s="494" t="s">
        <v>240</v>
      </c>
      <c r="M19" s="425">
        <f t="shared" si="1"/>
        <v>10</v>
      </c>
      <c r="N19" s="1229"/>
      <c r="O19" s="585">
        <f t="shared" si="11"/>
        <v>0</v>
      </c>
      <c r="P19" s="583">
        <f t="shared" si="2"/>
        <v>0</v>
      </c>
      <c r="Q19" s="499">
        <f t="shared" si="12"/>
        <v>0</v>
      </c>
      <c r="R19" s="409">
        <f t="shared" si="13"/>
        <v>0</v>
      </c>
      <c r="S19" s="16"/>
      <c r="T19" s="958">
        <f t="shared" si="24"/>
        <v>12</v>
      </c>
      <c r="U19" s="899"/>
      <c r="V19" s="887" t="s">
        <v>805</v>
      </c>
      <c r="W19" s="978">
        <v>0</v>
      </c>
      <c r="X19" s="687">
        <f>VLOOKUP(V19,Düngemittel!$B$6:$E$64,2,FALSE)*(VLOOKUP(V19,Düngemittel!$B$6:$E$64,3,FALSE))/100*W19</f>
        <v>0</v>
      </c>
      <c r="Y19" s="687">
        <f>VLOOKUP(V19,Düngemittel!$B$6:$E$64,2,FALSE)*W19</f>
        <v>0</v>
      </c>
      <c r="Z19" s="687">
        <f>VLOOKUP(V19,Düngemittel!$B$6:$E$64,4,FALSE)*W19</f>
        <v>0</v>
      </c>
      <c r="AA19" s="666"/>
      <c r="AB19" s="899"/>
      <c r="AC19" s="887" t="s">
        <v>805</v>
      </c>
      <c r="AD19" s="978">
        <v>0</v>
      </c>
      <c r="AE19" s="687">
        <f>VLOOKUP(AC19,Düngemittel!$B$6:$E$64,2,FALSE)*(VLOOKUP(AC19,Düngemittel!$B$6:$E$64,3,FALSE))/100*AD19</f>
        <v>0</v>
      </c>
      <c r="AF19" s="687">
        <f>VLOOKUP(AC19,Düngemittel!$B$6:$E$64,2,FALSE)*AD19</f>
        <v>0</v>
      </c>
      <c r="AG19" s="687">
        <f>VLOOKUP(AC19,Düngemittel!$B$6:$E$64,4,FALSE)*AD19</f>
        <v>0</v>
      </c>
      <c r="AH19" s="666"/>
      <c r="AI19" s="899"/>
      <c r="AJ19" s="887" t="s">
        <v>805</v>
      </c>
      <c r="AK19" s="978">
        <v>0</v>
      </c>
      <c r="AL19" s="687">
        <f>VLOOKUP(AJ19,Düngemittel!$B$6:$E$64,2,FALSE)*(VLOOKUP(AJ19,Düngemittel!$B$6:$E$64,3,FALSE))/100*AK19</f>
        <v>0</v>
      </c>
      <c r="AM19" s="687">
        <f>VLOOKUP(AJ19,Düngemittel!$B$6:$E$64,2,FALSE)*AK19</f>
        <v>0</v>
      </c>
      <c r="AN19" s="687">
        <f>VLOOKUP(AJ19,Düngemittel!$B$6:$E$64,4,FALSE)*AK19</f>
        <v>0</v>
      </c>
      <c r="AO19" s="666"/>
      <c r="AP19" s="899"/>
      <c r="AQ19" s="887" t="s">
        <v>805</v>
      </c>
      <c r="AR19" s="978">
        <v>0</v>
      </c>
      <c r="AS19" s="687">
        <f>VLOOKUP(AQ19,Düngemittel!$B$6:$E$64,2,FALSE)*(VLOOKUP(AQ19,Düngemittel!$B$6:$E$64,3,FALSE))/100*AR19</f>
        <v>0</v>
      </c>
      <c r="AT19" s="687">
        <f>VLOOKUP(AQ19,Düngemittel!$B$6:$E$64,2,FALSE)*AR19</f>
        <v>0</v>
      </c>
      <c r="AU19" s="687">
        <f>VLOOKUP(AQ19,Düngemittel!$B$6:$E$64,4,FALSE)*AR19</f>
        <v>0</v>
      </c>
      <c r="AV19" s="666"/>
      <c r="AW19" s="899"/>
      <c r="AX19" s="887" t="s">
        <v>805</v>
      </c>
      <c r="AY19" s="978">
        <v>0</v>
      </c>
      <c r="AZ19" s="687">
        <f>VLOOKUP(AX19,Düngemittel!$B$6:$E$64,2,FALSE)*(VLOOKUP(AX19,Düngemittel!$B$6:$E$64,3,FALSE))/100*AY19</f>
        <v>0</v>
      </c>
      <c r="BA19" s="687">
        <f>VLOOKUP(AX19,Düngemittel!$B$6:$E$64,2,FALSE)*AY19</f>
        <v>0</v>
      </c>
      <c r="BB19" s="774">
        <f>VLOOKUP(AX19,Düngemittel!$B$6:$E$64,4,FALSE)*AY19</f>
        <v>0</v>
      </c>
      <c r="BC19" s="666"/>
      <c r="BD19" s="853">
        <f t="shared" si="3"/>
        <v>0</v>
      </c>
      <c r="BE19" s="308">
        <f t="shared" si="4"/>
        <v>0</v>
      </c>
      <c r="BF19" s="853">
        <f t="shared" si="5"/>
        <v>0</v>
      </c>
      <c r="BG19" s="777">
        <f t="shared" si="6"/>
        <v>0</v>
      </c>
      <c r="BH19" s="308">
        <f t="shared" si="7"/>
        <v>0</v>
      </c>
      <c r="BI19" s="785"/>
      <c r="BJ19" s="853">
        <f t="shared" si="14"/>
        <v>0</v>
      </c>
      <c r="BK19" s="853">
        <f t="shared" si="15"/>
        <v>0</v>
      </c>
      <c r="BL19" s="853">
        <f t="shared" si="16"/>
        <v>0</v>
      </c>
      <c r="BM19" s="853">
        <f t="shared" si="17"/>
        <v>0</v>
      </c>
      <c r="BN19" s="853">
        <f t="shared" si="18"/>
        <v>0</v>
      </c>
      <c r="BO19" s="16"/>
      <c r="BP19" s="16"/>
      <c r="BQ19" s="984">
        <f t="shared" si="19"/>
        <v>12</v>
      </c>
      <c r="BR19" s="985">
        <f t="shared" si="20"/>
        <v>0</v>
      </c>
      <c r="BS19" s="919"/>
      <c r="BT19" s="974"/>
      <c r="BU19" s="918"/>
      <c r="BV19" s="918"/>
      <c r="BW19" s="918"/>
      <c r="BX19" s="774">
        <f t="shared" si="21"/>
        <v>0</v>
      </c>
      <c r="BY19" s="919"/>
      <c r="BZ19" s="974"/>
      <c r="CA19" s="918"/>
      <c r="CB19" s="918"/>
      <c r="CC19" s="918"/>
      <c r="CD19" s="774">
        <f t="shared" si="22"/>
        <v>0</v>
      </c>
      <c r="CE19" s="919"/>
      <c r="CF19" s="974"/>
      <c r="CG19" s="918"/>
      <c r="CH19" s="918"/>
      <c r="CI19" s="918"/>
      <c r="CJ19" s="774">
        <f t="shared" si="23"/>
        <v>0</v>
      </c>
      <c r="CK19" s="916"/>
      <c r="CL19" s="352"/>
      <c r="CM19" s="378" t="s">
        <v>89</v>
      </c>
      <c r="CN19" s="354">
        <v>40</v>
      </c>
    </row>
    <row r="20" spans="1:92" ht="23.25" customHeight="1" x14ac:dyDescent="0.25">
      <c r="A20" s="342">
        <v>13</v>
      </c>
      <c r="B20" s="1222">
        <v>0</v>
      </c>
      <c r="C20" s="451"/>
      <c r="D20" s="418">
        <f t="shared" si="9"/>
        <v>100</v>
      </c>
      <c r="E20" s="918">
        <v>0</v>
      </c>
      <c r="F20" s="1234">
        <v>0</v>
      </c>
      <c r="G20" s="1065">
        <v>0</v>
      </c>
      <c r="H20" s="1225">
        <v>0</v>
      </c>
      <c r="I20" s="421">
        <f t="shared" si="10"/>
        <v>0</v>
      </c>
      <c r="J20" s="492" t="s">
        <v>90</v>
      </c>
      <c r="K20" s="423">
        <f t="shared" si="0"/>
        <v>0</v>
      </c>
      <c r="L20" s="494" t="s">
        <v>240</v>
      </c>
      <c r="M20" s="425">
        <f t="shared" si="1"/>
        <v>10</v>
      </c>
      <c r="N20" s="1229"/>
      <c r="O20" s="585">
        <f t="shared" si="11"/>
        <v>0</v>
      </c>
      <c r="P20" s="583">
        <f t="shared" si="2"/>
        <v>0</v>
      </c>
      <c r="Q20" s="499">
        <f t="shared" si="12"/>
        <v>0</v>
      </c>
      <c r="R20" s="409">
        <f t="shared" si="13"/>
        <v>0</v>
      </c>
      <c r="S20" s="16"/>
      <c r="T20" s="958">
        <f t="shared" si="24"/>
        <v>13</v>
      </c>
      <c r="U20" s="899"/>
      <c r="V20" s="887" t="s">
        <v>805</v>
      </c>
      <c r="W20" s="978">
        <v>0</v>
      </c>
      <c r="X20" s="687">
        <f>VLOOKUP(V20,Düngemittel!$B$6:$E$64,2,FALSE)*(VLOOKUP(V20,Düngemittel!$B$6:$E$64,3,FALSE))/100*W20</f>
        <v>0</v>
      </c>
      <c r="Y20" s="687">
        <f>VLOOKUP(V20,Düngemittel!$B$6:$E$64,2,FALSE)*W20</f>
        <v>0</v>
      </c>
      <c r="Z20" s="687">
        <f>VLOOKUP(V20,Düngemittel!$B$6:$E$64,4,FALSE)*W20</f>
        <v>0</v>
      </c>
      <c r="AA20" s="666"/>
      <c r="AB20" s="899"/>
      <c r="AC20" s="887" t="s">
        <v>805</v>
      </c>
      <c r="AD20" s="978">
        <v>0</v>
      </c>
      <c r="AE20" s="687">
        <f>VLOOKUP(AC20,Düngemittel!$B$6:$E$64,2,FALSE)*(VLOOKUP(AC20,Düngemittel!$B$6:$E$64,3,FALSE))/100*AD20</f>
        <v>0</v>
      </c>
      <c r="AF20" s="687">
        <f>VLOOKUP(AC20,Düngemittel!$B$6:$E$64,2,FALSE)*AD20</f>
        <v>0</v>
      </c>
      <c r="AG20" s="687">
        <f>VLOOKUP(AC20,Düngemittel!$B$6:$E$64,4,FALSE)*AD20</f>
        <v>0</v>
      </c>
      <c r="AH20" s="666"/>
      <c r="AI20" s="899"/>
      <c r="AJ20" s="887" t="s">
        <v>805</v>
      </c>
      <c r="AK20" s="978">
        <v>0</v>
      </c>
      <c r="AL20" s="687">
        <f>VLOOKUP(AJ20,Düngemittel!$B$6:$E$64,2,FALSE)*(VLOOKUP(AJ20,Düngemittel!$B$6:$E$64,3,FALSE))/100*AK20</f>
        <v>0</v>
      </c>
      <c r="AM20" s="687">
        <f>VLOOKUP(AJ20,Düngemittel!$B$6:$E$64,2,FALSE)*AK20</f>
        <v>0</v>
      </c>
      <c r="AN20" s="687">
        <f>VLOOKUP(AJ20,Düngemittel!$B$6:$E$64,4,FALSE)*AK20</f>
        <v>0</v>
      </c>
      <c r="AO20" s="666"/>
      <c r="AP20" s="899"/>
      <c r="AQ20" s="887" t="s">
        <v>805</v>
      </c>
      <c r="AR20" s="978">
        <v>0</v>
      </c>
      <c r="AS20" s="687">
        <f>VLOOKUP(AQ20,Düngemittel!$B$6:$E$64,2,FALSE)*(VLOOKUP(AQ20,Düngemittel!$B$6:$E$64,3,FALSE))/100*AR20</f>
        <v>0</v>
      </c>
      <c r="AT20" s="687">
        <f>VLOOKUP(AQ20,Düngemittel!$B$6:$E$64,2,FALSE)*AR20</f>
        <v>0</v>
      </c>
      <c r="AU20" s="687">
        <f>VLOOKUP(AQ20,Düngemittel!$B$6:$E$64,4,FALSE)*AR20</f>
        <v>0</v>
      </c>
      <c r="AV20" s="666"/>
      <c r="AW20" s="899"/>
      <c r="AX20" s="887" t="s">
        <v>805</v>
      </c>
      <c r="AY20" s="978">
        <v>0</v>
      </c>
      <c r="AZ20" s="687">
        <f>VLOOKUP(AX20,Düngemittel!$B$6:$E$64,2,FALSE)*(VLOOKUP(AX20,Düngemittel!$B$6:$E$64,3,FALSE))/100*AY20</f>
        <v>0</v>
      </c>
      <c r="BA20" s="687">
        <f>VLOOKUP(AX20,Düngemittel!$B$6:$E$64,2,FALSE)*AY20</f>
        <v>0</v>
      </c>
      <c r="BB20" s="774">
        <f>VLOOKUP(AX20,Düngemittel!$B$6:$E$64,4,FALSE)*AY20</f>
        <v>0</v>
      </c>
      <c r="BC20" s="666"/>
      <c r="BD20" s="853">
        <f t="shared" si="3"/>
        <v>0</v>
      </c>
      <c r="BE20" s="308">
        <f t="shared" si="4"/>
        <v>0</v>
      </c>
      <c r="BF20" s="853">
        <f t="shared" si="5"/>
        <v>0</v>
      </c>
      <c r="BG20" s="777">
        <f t="shared" si="6"/>
        <v>0</v>
      </c>
      <c r="BH20" s="308">
        <f t="shared" si="7"/>
        <v>0</v>
      </c>
      <c r="BI20" s="785"/>
      <c r="BJ20" s="853">
        <f t="shared" si="14"/>
        <v>0</v>
      </c>
      <c r="BK20" s="853">
        <f t="shared" si="15"/>
        <v>0</v>
      </c>
      <c r="BL20" s="853">
        <f t="shared" si="16"/>
        <v>0</v>
      </c>
      <c r="BM20" s="853">
        <f t="shared" si="17"/>
        <v>0</v>
      </c>
      <c r="BN20" s="853">
        <f t="shared" si="18"/>
        <v>0</v>
      </c>
      <c r="BO20" s="16"/>
      <c r="BP20" s="16"/>
      <c r="BQ20" s="984">
        <f t="shared" si="19"/>
        <v>13</v>
      </c>
      <c r="BR20" s="985">
        <f t="shared" si="20"/>
        <v>0</v>
      </c>
      <c r="BS20" s="919"/>
      <c r="BT20" s="974"/>
      <c r="BU20" s="918"/>
      <c r="BV20" s="918"/>
      <c r="BW20" s="918"/>
      <c r="BX20" s="774">
        <f t="shared" si="21"/>
        <v>0</v>
      </c>
      <c r="BY20" s="919"/>
      <c r="BZ20" s="974"/>
      <c r="CA20" s="918"/>
      <c r="CB20" s="918"/>
      <c r="CC20" s="918"/>
      <c r="CD20" s="774">
        <f t="shared" si="22"/>
        <v>0</v>
      </c>
      <c r="CE20" s="919"/>
      <c r="CF20" s="974"/>
      <c r="CG20" s="918"/>
      <c r="CH20" s="918"/>
      <c r="CI20" s="918"/>
      <c r="CJ20" s="774">
        <f t="shared" si="23"/>
        <v>0</v>
      </c>
      <c r="CK20" s="916"/>
      <c r="CL20" s="352"/>
      <c r="CM20" s="378" t="s">
        <v>233</v>
      </c>
      <c r="CN20" s="354">
        <v>60</v>
      </c>
    </row>
    <row r="21" spans="1:92" ht="23.25" customHeight="1" x14ac:dyDescent="0.25">
      <c r="A21" s="342">
        <v>14</v>
      </c>
      <c r="B21" s="1222">
        <v>0</v>
      </c>
      <c r="C21" s="451"/>
      <c r="D21" s="418">
        <f t="shared" si="9"/>
        <v>100</v>
      </c>
      <c r="E21" s="918">
        <v>0</v>
      </c>
      <c r="F21" s="1234">
        <v>0</v>
      </c>
      <c r="G21" s="1065">
        <v>0</v>
      </c>
      <c r="H21" s="1225">
        <v>0</v>
      </c>
      <c r="I21" s="421">
        <f t="shared" si="10"/>
        <v>0</v>
      </c>
      <c r="J21" s="492" t="s">
        <v>90</v>
      </c>
      <c r="K21" s="423">
        <f t="shared" si="0"/>
        <v>0</v>
      </c>
      <c r="L21" s="494" t="s">
        <v>240</v>
      </c>
      <c r="M21" s="425">
        <f t="shared" si="1"/>
        <v>10</v>
      </c>
      <c r="N21" s="1229"/>
      <c r="O21" s="585">
        <f t="shared" si="11"/>
        <v>0</v>
      </c>
      <c r="P21" s="583">
        <f t="shared" si="2"/>
        <v>0</v>
      </c>
      <c r="Q21" s="499">
        <f t="shared" si="12"/>
        <v>0</v>
      </c>
      <c r="R21" s="409">
        <f t="shared" si="13"/>
        <v>0</v>
      </c>
      <c r="S21" s="16"/>
      <c r="T21" s="958">
        <f t="shared" si="24"/>
        <v>14</v>
      </c>
      <c r="U21" s="899"/>
      <c r="V21" s="887" t="s">
        <v>805</v>
      </c>
      <c r="W21" s="978">
        <v>0</v>
      </c>
      <c r="X21" s="687">
        <f>VLOOKUP(V21,Düngemittel!$B$6:$E$64,2,FALSE)*(VLOOKUP(V21,Düngemittel!$B$6:$E$64,3,FALSE))/100*W21</f>
        <v>0</v>
      </c>
      <c r="Y21" s="687">
        <f>VLOOKUP(V21,Düngemittel!$B$6:$E$64,2,FALSE)*W21</f>
        <v>0</v>
      </c>
      <c r="Z21" s="687">
        <f>VLOOKUP(V21,Düngemittel!$B$6:$E$64,4,FALSE)*W21</f>
        <v>0</v>
      </c>
      <c r="AA21" s="666"/>
      <c r="AB21" s="899"/>
      <c r="AC21" s="887" t="s">
        <v>805</v>
      </c>
      <c r="AD21" s="978">
        <v>0</v>
      </c>
      <c r="AE21" s="687">
        <f>VLOOKUP(AC21,Düngemittel!$B$6:$E$64,2,FALSE)*(VLOOKUP(AC21,Düngemittel!$B$6:$E$64,3,FALSE))/100*AD21</f>
        <v>0</v>
      </c>
      <c r="AF21" s="687">
        <f>VLOOKUP(AC21,Düngemittel!$B$6:$E$64,2,FALSE)*AD21</f>
        <v>0</v>
      </c>
      <c r="AG21" s="687">
        <f>VLOOKUP(AC21,Düngemittel!$B$6:$E$64,4,FALSE)*AD21</f>
        <v>0</v>
      </c>
      <c r="AH21" s="666"/>
      <c r="AI21" s="899"/>
      <c r="AJ21" s="887" t="s">
        <v>805</v>
      </c>
      <c r="AK21" s="978">
        <v>0</v>
      </c>
      <c r="AL21" s="687">
        <f>VLOOKUP(AJ21,Düngemittel!$B$6:$E$64,2,FALSE)*(VLOOKUP(AJ21,Düngemittel!$B$6:$E$64,3,FALSE))/100*AK21</f>
        <v>0</v>
      </c>
      <c r="AM21" s="687">
        <f>VLOOKUP(AJ21,Düngemittel!$B$6:$E$64,2,FALSE)*AK21</f>
        <v>0</v>
      </c>
      <c r="AN21" s="687">
        <f>VLOOKUP(AJ21,Düngemittel!$B$6:$E$64,4,FALSE)*AK21</f>
        <v>0</v>
      </c>
      <c r="AO21" s="666"/>
      <c r="AP21" s="899"/>
      <c r="AQ21" s="887" t="s">
        <v>805</v>
      </c>
      <c r="AR21" s="978">
        <v>0</v>
      </c>
      <c r="AS21" s="687">
        <f>VLOOKUP(AQ21,Düngemittel!$B$6:$E$64,2,FALSE)*(VLOOKUP(AQ21,Düngemittel!$B$6:$E$64,3,FALSE))/100*AR21</f>
        <v>0</v>
      </c>
      <c r="AT21" s="687">
        <f>VLOOKUP(AQ21,Düngemittel!$B$6:$E$64,2,FALSE)*AR21</f>
        <v>0</v>
      </c>
      <c r="AU21" s="687">
        <f>VLOOKUP(AQ21,Düngemittel!$B$6:$E$64,4,FALSE)*AR21</f>
        <v>0</v>
      </c>
      <c r="AV21" s="666"/>
      <c r="AW21" s="899"/>
      <c r="AX21" s="887" t="s">
        <v>805</v>
      </c>
      <c r="AY21" s="978">
        <v>0</v>
      </c>
      <c r="AZ21" s="687">
        <f>VLOOKUP(AX21,Düngemittel!$B$6:$E$64,2,FALSE)*(VLOOKUP(AX21,Düngemittel!$B$6:$E$64,3,FALSE))/100*AY21</f>
        <v>0</v>
      </c>
      <c r="BA21" s="687">
        <f>VLOOKUP(AX21,Düngemittel!$B$6:$E$64,2,FALSE)*AY21</f>
        <v>0</v>
      </c>
      <c r="BB21" s="774">
        <f>VLOOKUP(AX21,Düngemittel!$B$6:$E$64,4,FALSE)*AY21</f>
        <v>0</v>
      </c>
      <c r="BC21" s="666"/>
      <c r="BD21" s="853">
        <f t="shared" si="3"/>
        <v>0</v>
      </c>
      <c r="BE21" s="308">
        <f t="shared" si="4"/>
        <v>0</v>
      </c>
      <c r="BF21" s="853">
        <f t="shared" si="5"/>
        <v>0</v>
      </c>
      <c r="BG21" s="777">
        <f t="shared" si="6"/>
        <v>0</v>
      </c>
      <c r="BH21" s="308">
        <f t="shared" si="7"/>
        <v>0</v>
      </c>
      <c r="BI21" s="785"/>
      <c r="BJ21" s="853">
        <f t="shared" si="14"/>
        <v>0</v>
      </c>
      <c r="BK21" s="853">
        <f t="shared" si="15"/>
        <v>0</v>
      </c>
      <c r="BL21" s="853">
        <f t="shared" si="16"/>
        <v>0</v>
      </c>
      <c r="BM21" s="853">
        <f t="shared" si="17"/>
        <v>0</v>
      </c>
      <c r="BN21" s="853">
        <f t="shared" si="18"/>
        <v>0</v>
      </c>
      <c r="BO21" s="16"/>
      <c r="BP21" s="16"/>
      <c r="BQ21" s="984">
        <f t="shared" si="19"/>
        <v>14</v>
      </c>
      <c r="BR21" s="985">
        <f t="shared" si="20"/>
        <v>0</v>
      </c>
      <c r="BS21" s="919"/>
      <c r="BT21" s="974"/>
      <c r="BU21" s="918"/>
      <c r="BV21" s="918"/>
      <c r="BW21" s="918"/>
      <c r="BX21" s="774">
        <f t="shared" si="21"/>
        <v>0</v>
      </c>
      <c r="BY21" s="919"/>
      <c r="BZ21" s="974"/>
      <c r="CA21" s="918"/>
      <c r="CB21" s="918"/>
      <c r="CC21" s="918"/>
      <c r="CD21" s="774">
        <f t="shared" si="22"/>
        <v>0</v>
      </c>
      <c r="CE21" s="919"/>
      <c r="CF21" s="974"/>
      <c r="CG21" s="918"/>
      <c r="CH21" s="918"/>
      <c r="CI21" s="918"/>
      <c r="CJ21" s="774">
        <f t="shared" si="23"/>
        <v>0</v>
      </c>
      <c r="CK21" s="916"/>
      <c r="CL21" s="352"/>
    </row>
    <row r="22" spans="1:92" ht="23.25" customHeight="1" x14ac:dyDescent="0.25">
      <c r="A22" s="342">
        <v>15</v>
      </c>
      <c r="B22" s="1222">
        <v>0</v>
      </c>
      <c r="C22" s="455"/>
      <c r="D22" s="418">
        <f t="shared" si="9"/>
        <v>100</v>
      </c>
      <c r="E22" s="918">
        <v>0</v>
      </c>
      <c r="F22" s="1234">
        <v>0</v>
      </c>
      <c r="G22" s="1065">
        <v>0</v>
      </c>
      <c r="H22" s="1225">
        <v>0</v>
      </c>
      <c r="I22" s="421">
        <f t="shared" si="10"/>
        <v>0</v>
      </c>
      <c r="J22" s="492" t="s">
        <v>90</v>
      </c>
      <c r="K22" s="423">
        <f t="shared" si="0"/>
        <v>0</v>
      </c>
      <c r="L22" s="494" t="s">
        <v>240</v>
      </c>
      <c r="M22" s="425">
        <f t="shared" si="1"/>
        <v>10</v>
      </c>
      <c r="N22" s="1229"/>
      <c r="O22" s="585">
        <f t="shared" si="11"/>
        <v>0</v>
      </c>
      <c r="P22" s="583">
        <f t="shared" si="2"/>
        <v>0</v>
      </c>
      <c r="Q22" s="499">
        <f t="shared" si="12"/>
        <v>0</v>
      </c>
      <c r="R22" s="409">
        <f t="shared" si="13"/>
        <v>0</v>
      </c>
      <c r="S22" s="16"/>
      <c r="T22" s="958">
        <f t="shared" si="24"/>
        <v>15</v>
      </c>
      <c r="U22" s="899"/>
      <c r="V22" s="887" t="s">
        <v>805</v>
      </c>
      <c r="W22" s="978">
        <v>0</v>
      </c>
      <c r="X22" s="687">
        <f>VLOOKUP(V22,Düngemittel!$B$6:$E$64,2,FALSE)*(VLOOKUP(V22,Düngemittel!$B$6:$E$64,3,FALSE))/100*W22</f>
        <v>0</v>
      </c>
      <c r="Y22" s="687">
        <f>VLOOKUP(V22,Düngemittel!$B$6:$E$64,2,FALSE)*W22</f>
        <v>0</v>
      </c>
      <c r="Z22" s="687">
        <f>VLOOKUP(V22,Düngemittel!$B$6:$E$64,4,FALSE)*W22</f>
        <v>0</v>
      </c>
      <c r="AA22" s="666"/>
      <c r="AB22" s="899"/>
      <c r="AC22" s="887" t="s">
        <v>805</v>
      </c>
      <c r="AD22" s="978">
        <v>0</v>
      </c>
      <c r="AE22" s="687">
        <f>VLOOKUP(AC22,Düngemittel!$B$6:$E$64,2,FALSE)*(VLOOKUP(AC22,Düngemittel!$B$6:$E$64,3,FALSE))/100*AD22</f>
        <v>0</v>
      </c>
      <c r="AF22" s="687">
        <f>VLOOKUP(AC22,Düngemittel!$B$6:$E$64,2,FALSE)*AD22</f>
        <v>0</v>
      </c>
      <c r="AG22" s="687">
        <f>VLOOKUP(AC22,Düngemittel!$B$6:$E$64,4,FALSE)*AD22</f>
        <v>0</v>
      </c>
      <c r="AH22" s="666"/>
      <c r="AI22" s="899"/>
      <c r="AJ22" s="887" t="s">
        <v>805</v>
      </c>
      <c r="AK22" s="978">
        <v>0</v>
      </c>
      <c r="AL22" s="687">
        <f>VLOOKUP(AJ22,Düngemittel!$B$6:$E$64,2,FALSE)*(VLOOKUP(AJ22,Düngemittel!$B$6:$E$64,3,FALSE))/100*AK22</f>
        <v>0</v>
      </c>
      <c r="AM22" s="687">
        <f>VLOOKUP(AJ22,Düngemittel!$B$6:$E$64,2,FALSE)*AK22</f>
        <v>0</v>
      </c>
      <c r="AN22" s="687">
        <f>VLOOKUP(AJ22,Düngemittel!$B$6:$E$64,4,FALSE)*AK22</f>
        <v>0</v>
      </c>
      <c r="AO22" s="666"/>
      <c r="AP22" s="899"/>
      <c r="AQ22" s="887" t="s">
        <v>805</v>
      </c>
      <c r="AR22" s="978">
        <v>0</v>
      </c>
      <c r="AS22" s="687">
        <f>VLOOKUP(AQ22,Düngemittel!$B$6:$E$64,2,FALSE)*(VLOOKUP(AQ22,Düngemittel!$B$6:$E$64,3,FALSE))/100*AR22</f>
        <v>0</v>
      </c>
      <c r="AT22" s="687">
        <f>VLOOKUP(AQ22,Düngemittel!$B$6:$E$64,2,FALSE)*AR22</f>
        <v>0</v>
      </c>
      <c r="AU22" s="687">
        <f>VLOOKUP(AQ22,Düngemittel!$B$6:$E$64,4,FALSE)*AR22</f>
        <v>0</v>
      </c>
      <c r="AV22" s="666"/>
      <c r="AW22" s="899"/>
      <c r="AX22" s="887" t="s">
        <v>805</v>
      </c>
      <c r="AY22" s="978">
        <v>0</v>
      </c>
      <c r="AZ22" s="687">
        <f>VLOOKUP(AX22,Düngemittel!$B$6:$E$64,2,FALSE)*(VLOOKUP(AX22,Düngemittel!$B$6:$E$64,3,FALSE))/100*AY22</f>
        <v>0</v>
      </c>
      <c r="BA22" s="687">
        <f>VLOOKUP(AX22,Düngemittel!$B$6:$E$64,2,FALSE)*AY22</f>
        <v>0</v>
      </c>
      <c r="BB22" s="774">
        <f>VLOOKUP(AX22,Düngemittel!$B$6:$E$64,4,FALSE)*AY22</f>
        <v>0</v>
      </c>
      <c r="BC22" s="666"/>
      <c r="BD22" s="853">
        <f t="shared" si="3"/>
        <v>0</v>
      </c>
      <c r="BE22" s="308">
        <f t="shared" si="4"/>
        <v>0</v>
      </c>
      <c r="BF22" s="853">
        <f t="shared" si="5"/>
        <v>0</v>
      </c>
      <c r="BG22" s="777">
        <f t="shared" si="6"/>
        <v>0</v>
      </c>
      <c r="BH22" s="308">
        <f t="shared" si="7"/>
        <v>0</v>
      </c>
      <c r="BI22" s="785"/>
      <c r="BJ22" s="853">
        <f t="shared" si="14"/>
        <v>0</v>
      </c>
      <c r="BK22" s="853">
        <f t="shared" si="15"/>
        <v>0</v>
      </c>
      <c r="BL22" s="853">
        <f t="shared" si="16"/>
        <v>0</v>
      </c>
      <c r="BM22" s="853">
        <f t="shared" si="17"/>
        <v>0</v>
      </c>
      <c r="BN22" s="853">
        <f t="shared" si="18"/>
        <v>0</v>
      </c>
      <c r="BO22" s="16"/>
      <c r="BP22" s="16"/>
      <c r="BQ22" s="984">
        <f t="shared" si="19"/>
        <v>15</v>
      </c>
      <c r="BR22" s="985">
        <f t="shared" si="20"/>
        <v>0</v>
      </c>
      <c r="BS22" s="919"/>
      <c r="BT22" s="974"/>
      <c r="BU22" s="918"/>
      <c r="BV22" s="918"/>
      <c r="BW22" s="918"/>
      <c r="BX22" s="774">
        <f t="shared" si="21"/>
        <v>0</v>
      </c>
      <c r="BY22" s="919"/>
      <c r="BZ22" s="974"/>
      <c r="CA22" s="918"/>
      <c r="CB22" s="918"/>
      <c r="CC22" s="918"/>
      <c r="CD22" s="774">
        <f t="shared" si="22"/>
        <v>0</v>
      </c>
      <c r="CE22" s="919"/>
      <c r="CF22" s="974"/>
      <c r="CG22" s="918"/>
      <c r="CH22" s="918"/>
      <c r="CI22" s="918"/>
      <c r="CJ22" s="774">
        <f t="shared" si="23"/>
        <v>0</v>
      </c>
      <c r="CK22" s="915"/>
    </row>
    <row r="23" spans="1:92" ht="23.25" customHeight="1" x14ac:dyDescent="0.25">
      <c r="A23" s="342">
        <v>16</v>
      </c>
      <c r="B23" s="1222">
        <v>0</v>
      </c>
      <c r="C23" s="451"/>
      <c r="D23" s="418">
        <f t="shared" si="9"/>
        <v>100</v>
      </c>
      <c r="E23" s="918">
        <v>0</v>
      </c>
      <c r="F23" s="1234">
        <v>0</v>
      </c>
      <c r="G23" s="1065">
        <v>0</v>
      </c>
      <c r="H23" s="1225">
        <v>0</v>
      </c>
      <c r="I23" s="421">
        <f t="shared" si="10"/>
        <v>0</v>
      </c>
      <c r="J23" s="492" t="s">
        <v>90</v>
      </c>
      <c r="K23" s="423">
        <f t="shared" si="0"/>
        <v>0</v>
      </c>
      <c r="L23" s="494" t="s">
        <v>240</v>
      </c>
      <c r="M23" s="425">
        <f t="shared" si="1"/>
        <v>10</v>
      </c>
      <c r="N23" s="1229"/>
      <c r="O23" s="585">
        <f t="shared" si="11"/>
        <v>0</v>
      </c>
      <c r="P23" s="583">
        <f t="shared" si="2"/>
        <v>0</v>
      </c>
      <c r="Q23" s="499">
        <f t="shared" si="12"/>
        <v>0</v>
      </c>
      <c r="R23" s="409">
        <f t="shared" si="13"/>
        <v>0</v>
      </c>
      <c r="S23" s="16"/>
      <c r="T23" s="958">
        <f t="shared" si="24"/>
        <v>16</v>
      </c>
      <c r="U23" s="899"/>
      <c r="V23" s="887" t="s">
        <v>805</v>
      </c>
      <c r="W23" s="978">
        <v>0</v>
      </c>
      <c r="X23" s="687">
        <f>VLOOKUP(V23,Düngemittel!$B$6:$E$64,2,FALSE)*(VLOOKUP(V23,Düngemittel!$B$6:$E$64,3,FALSE))/100*W23</f>
        <v>0</v>
      </c>
      <c r="Y23" s="687">
        <f>VLOOKUP(V23,Düngemittel!$B$6:$E$64,2,FALSE)*W23</f>
        <v>0</v>
      </c>
      <c r="Z23" s="687">
        <f>VLOOKUP(V23,Düngemittel!$B$6:$E$64,4,FALSE)*W23</f>
        <v>0</v>
      </c>
      <c r="AA23" s="666"/>
      <c r="AB23" s="899"/>
      <c r="AC23" s="887" t="s">
        <v>805</v>
      </c>
      <c r="AD23" s="978">
        <v>0</v>
      </c>
      <c r="AE23" s="687">
        <f>VLOOKUP(AC23,Düngemittel!$B$6:$E$64,2,FALSE)*(VLOOKUP(AC23,Düngemittel!$B$6:$E$64,3,FALSE))/100*AD23</f>
        <v>0</v>
      </c>
      <c r="AF23" s="687">
        <f>VLOOKUP(AC23,Düngemittel!$B$6:$E$64,2,FALSE)*AD23</f>
        <v>0</v>
      </c>
      <c r="AG23" s="687">
        <f>VLOOKUP(AC23,Düngemittel!$B$6:$E$64,4,FALSE)*AD23</f>
        <v>0</v>
      </c>
      <c r="AH23" s="666"/>
      <c r="AI23" s="899"/>
      <c r="AJ23" s="887" t="s">
        <v>805</v>
      </c>
      <c r="AK23" s="978">
        <v>0</v>
      </c>
      <c r="AL23" s="687">
        <f>VLOOKUP(AJ23,Düngemittel!$B$6:$E$64,2,FALSE)*(VLOOKUP(AJ23,Düngemittel!$B$6:$E$64,3,FALSE))/100*AK23</f>
        <v>0</v>
      </c>
      <c r="AM23" s="687">
        <f>VLOOKUP(AJ23,Düngemittel!$B$6:$E$64,2,FALSE)*AK23</f>
        <v>0</v>
      </c>
      <c r="AN23" s="687">
        <f>VLOOKUP(AJ23,Düngemittel!$B$6:$E$64,4,FALSE)*AK23</f>
        <v>0</v>
      </c>
      <c r="AO23" s="666"/>
      <c r="AP23" s="899"/>
      <c r="AQ23" s="887" t="s">
        <v>805</v>
      </c>
      <c r="AR23" s="978">
        <v>0</v>
      </c>
      <c r="AS23" s="687">
        <f>VLOOKUP(AQ23,Düngemittel!$B$6:$E$64,2,FALSE)*(VLOOKUP(AQ23,Düngemittel!$B$6:$E$64,3,FALSE))/100*AR23</f>
        <v>0</v>
      </c>
      <c r="AT23" s="687">
        <f>VLOOKUP(AQ23,Düngemittel!$B$6:$E$64,2,FALSE)*AR23</f>
        <v>0</v>
      </c>
      <c r="AU23" s="687">
        <f>VLOOKUP(AQ23,Düngemittel!$B$6:$E$64,4,FALSE)*AR23</f>
        <v>0</v>
      </c>
      <c r="AV23" s="666"/>
      <c r="AW23" s="899"/>
      <c r="AX23" s="887" t="s">
        <v>805</v>
      </c>
      <c r="AY23" s="978">
        <v>0</v>
      </c>
      <c r="AZ23" s="687">
        <f>VLOOKUP(AX23,Düngemittel!$B$6:$E$64,2,FALSE)*(VLOOKUP(AX23,Düngemittel!$B$6:$E$64,3,FALSE))/100*AY23</f>
        <v>0</v>
      </c>
      <c r="BA23" s="687">
        <f>VLOOKUP(AX23,Düngemittel!$B$6:$E$64,2,FALSE)*AY23</f>
        <v>0</v>
      </c>
      <c r="BB23" s="774">
        <f>VLOOKUP(AX23,Düngemittel!$B$6:$E$64,4,FALSE)*AY23</f>
        <v>0</v>
      </c>
      <c r="BC23" s="666"/>
      <c r="BD23" s="853">
        <f t="shared" si="3"/>
        <v>0</v>
      </c>
      <c r="BE23" s="308">
        <f t="shared" si="4"/>
        <v>0</v>
      </c>
      <c r="BF23" s="853">
        <f t="shared" si="5"/>
        <v>0</v>
      </c>
      <c r="BG23" s="777">
        <f t="shared" si="6"/>
        <v>0</v>
      </c>
      <c r="BH23" s="308">
        <f t="shared" si="7"/>
        <v>0</v>
      </c>
      <c r="BI23" s="785"/>
      <c r="BJ23" s="853">
        <f t="shared" si="14"/>
        <v>0</v>
      </c>
      <c r="BK23" s="853">
        <f t="shared" si="15"/>
        <v>0</v>
      </c>
      <c r="BL23" s="853">
        <f t="shared" si="16"/>
        <v>0</v>
      </c>
      <c r="BM23" s="853">
        <f t="shared" si="17"/>
        <v>0</v>
      </c>
      <c r="BN23" s="853">
        <f t="shared" si="18"/>
        <v>0</v>
      </c>
      <c r="BO23" s="16"/>
      <c r="BP23" s="16"/>
      <c r="BQ23" s="984">
        <f t="shared" si="19"/>
        <v>16</v>
      </c>
      <c r="BR23" s="985">
        <f t="shared" si="20"/>
        <v>0</v>
      </c>
      <c r="BS23" s="919"/>
      <c r="BT23" s="974"/>
      <c r="BU23" s="918"/>
      <c r="BV23" s="918"/>
      <c r="BW23" s="918"/>
      <c r="BX23" s="774">
        <f t="shared" si="21"/>
        <v>0</v>
      </c>
      <c r="BY23" s="919"/>
      <c r="BZ23" s="974"/>
      <c r="CA23" s="918"/>
      <c r="CB23" s="918"/>
      <c r="CC23" s="918"/>
      <c r="CD23" s="774">
        <f t="shared" si="22"/>
        <v>0</v>
      </c>
      <c r="CE23" s="919"/>
      <c r="CF23" s="974"/>
      <c r="CG23" s="918"/>
      <c r="CH23" s="918"/>
      <c r="CI23" s="918"/>
      <c r="CJ23" s="774">
        <f t="shared" si="23"/>
        <v>0</v>
      </c>
      <c r="CK23" s="915"/>
    </row>
    <row r="24" spans="1:92" ht="23.25" customHeight="1" x14ac:dyDescent="0.25">
      <c r="A24" s="342">
        <v>17</v>
      </c>
      <c r="B24" s="1222">
        <v>0</v>
      </c>
      <c r="C24" s="451"/>
      <c r="D24" s="418">
        <f t="shared" si="9"/>
        <v>100</v>
      </c>
      <c r="E24" s="918">
        <v>0</v>
      </c>
      <c r="F24" s="1234">
        <v>0</v>
      </c>
      <c r="G24" s="1065">
        <v>0</v>
      </c>
      <c r="H24" s="1225">
        <v>0</v>
      </c>
      <c r="I24" s="421">
        <f t="shared" si="10"/>
        <v>0</v>
      </c>
      <c r="J24" s="492" t="s">
        <v>90</v>
      </c>
      <c r="K24" s="423">
        <f t="shared" si="0"/>
        <v>0</v>
      </c>
      <c r="L24" s="494" t="s">
        <v>240</v>
      </c>
      <c r="M24" s="425">
        <f t="shared" si="1"/>
        <v>10</v>
      </c>
      <c r="N24" s="1229"/>
      <c r="O24" s="585">
        <f t="shared" si="11"/>
        <v>0</v>
      </c>
      <c r="P24" s="583">
        <f t="shared" si="2"/>
        <v>0</v>
      </c>
      <c r="Q24" s="499">
        <f t="shared" si="12"/>
        <v>0</v>
      </c>
      <c r="R24" s="409">
        <f t="shared" si="13"/>
        <v>0</v>
      </c>
      <c r="S24" s="16"/>
      <c r="T24" s="958">
        <f t="shared" si="24"/>
        <v>17</v>
      </c>
      <c r="U24" s="899"/>
      <c r="V24" s="887" t="s">
        <v>805</v>
      </c>
      <c r="W24" s="978">
        <v>0</v>
      </c>
      <c r="X24" s="687">
        <f>VLOOKUP(V24,Düngemittel!$B$6:$E$64,2,FALSE)*(VLOOKUP(V24,Düngemittel!$B$6:$E$64,3,FALSE))/100*W24</f>
        <v>0</v>
      </c>
      <c r="Y24" s="687">
        <f>VLOOKUP(V24,Düngemittel!$B$6:$E$64,2,FALSE)*W24</f>
        <v>0</v>
      </c>
      <c r="Z24" s="687">
        <f>VLOOKUP(V24,Düngemittel!$B$6:$E$64,4,FALSE)*W24</f>
        <v>0</v>
      </c>
      <c r="AA24" s="666"/>
      <c r="AB24" s="899"/>
      <c r="AC24" s="887" t="s">
        <v>805</v>
      </c>
      <c r="AD24" s="978">
        <v>0</v>
      </c>
      <c r="AE24" s="687">
        <f>VLOOKUP(AC24,Düngemittel!$B$6:$E$64,2,FALSE)*(VLOOKUP(AC24,Düngemittel!$B$6:$E$64,3,FALSE))/100*AD24</f>
        <v>0</v>
      </c>
      <c r="AF24" s="687">
        <f>VLOOKUP(AC24,Düngemittel!$B$6:$E$64,2,FALSE)*AD24</f>
        <v>0</v>
      </c>
      <c r="AG24" s="687">
        <f>VLOOKUP(AC24,Düngemittel!$B$6:$E$64,4,FALSE)*AD24</f>
        <v>0</v>
      </c>
      <c r="AH24" s="666"/>
      <c r="AI24" s="899"/>
      <c r="AJ24" s="887" t="s">
        <v>805</v>
      </c>
      <c r="AK24" s="978">
        <v>0</v>
      </c>
      <c r="AL24" s="687">
        <f>VLOOKUP(AJ24,Düngemittel!$B$6:$E$64,2,FALSE)*(VLOOKUP(AJ24,Düngemittel!$B$6:$E$64,3,FALSE))/100*AK24</f>
        <v>0</v>
      </c>
      <c r="AM24" s="687">
        <f>VLOOKUP(AJ24,Düngemittel!$B$6:$E$64,2,FALSE)*AK24</f>
        <v>0</v>
      </c>
      <c r="AN24" s="687">
        <f>VLOOKUP(AJ24,Düngemittel!$B$6:$E$64,4,FALSE)*AK24</f>
        <v>0</v>
      </c>
      <c r="AO24" s="666"/>
      <c r="AP24" s="899"/>
      <c r="AQ24" s="887" t="s">
        <v>805</v>
      </c>
      <c r="AR24" s="978">
        <v>0</v>
      </c>
      <c r="AS24" s="687">
        <f>VLOOKUP(AQ24,Düngemittel!$B$6:$E$64,2,FALSE)*(VLOOKUP(AQ24,Düngemittel!$B$6:$E$64,3,FALSE))/100*AR24</f>
        <v>0</v>
      </c>
      <c r="AT24" s="687">
        <f>VLOOKUP(AQ24,Düngemittel!$B$6:$E$64,2,FALSE)*AR24</f>
        <v>0</v>
      </c>
      <c r="AU24" s="687">
        <f>VLOOKUP(AQ24,Düngemittel!$B$6:$E$64,4,FALSE)*AR24</f>
        <v>0</v>
      </c>
      <c r="AV24" s="666"/>
      <c r="AW24" s="899"/>
      <c r="AX24" s="887" t="s">
        <v>805</v>
      </c>
      <c r="AY24" s="978">
        <v>0</v>
      </c>
      <c r="AZ24" s="687">
        <f>VLOOKUP(AX24,Düngemittel!$B$6:$E$64,2,FALSE)*(VLOOKUP(AX24,Düngemittel!$B$6:$E$64,3,FALSE))/100*AY24</f>
        <v>0</v>
      </c>
      <c r="BA24" s="687">
        <f>VLOOKUP(AX24,Düngemittel!$B$6:$E$64,2,FALSE)*AY24</f>
        <v>0</v>
      </c>
      <c r="BB24" s="774">
        <f>VLOOKUP(AX24,Düngemittel!$B$6:$E$64,4,FALSE)*AY24</f>
        <v>0</v>
      </c>
      <c r="BC24" s="666"/>
      <c r="BD24" s="853">
        <f t="shared" si="3"/>
        <v>0</v>
      </c>
      <c r="BE24" s="308">
        <f t="shared" si="4"/>
        <v>0</v>
      </c>
      <c r="BF24" s="853">
        <f t="shared" si="5"/>
        <v>0</v>
      </c>
      <c r="BG24" s="777">
        <f t="shared" si="6"/>
        <v>0</v>
      </c>
      <c r="BH24" s="308">
        <f t="shared" si="7"/>
        <v>0</v>
      </c>
      <c r="BI24" s="785"/>
      <c r="BJ24" s="853">
        <f t="shared" si="14"/>
        <v>0</v>
      </c>
      <c r="BK24" s="853">
        <f t="shared" si="15"/>
        <v>0</v>
      </c>
      <c r="BL24" s="853">
        <f t="shared" si="16"/>
        <v>0</v>
      </c>
      <c r="BM24" s="853">
        <f t="shared" si="17"/>
        <v>0</v>
      </c>
      <c r="BN24" s="853">
        <f t="shared" si="18"/>
        <v>0</v>
      </c>
      <c r="BO24" s="16"/>
      <c r="BP24" s="16"/>
      <c r="BQ24" s="984">
        <f t="shared" si="19"/>
        <v>17</v>
      </c>
      <c r="BR24" s="985">
        <f t="shared" si="20"/>
        <v>0</v>
      </c>
      <c r="BS24" s="919"/>
      <c r="BT24" s="974"/>
      <c r="BU24" s="918"/>
      <c r="BV24" s="918"/>
      <c r="BW24" s="918"/>
      <c r="BX24" s="774">
        <f t="shared" si="21"/>
        <v>0</v>
      </c>
      <c r="BY24" s="919"/>
      <c r="BZ24" s="974"/>
      <c r="CA24" s="918"/>
      <c r="CB24" s="918"/>
      <c r="CC24" s="918"/>
      <c r="CD24" s="774">
        <f t="shared" si="22"/>
        <v>0</v>
      </c>
      <c r="CE24" s="919"/>
      <c r="CF24" s="974"/>
      <c r="CG24" s="918"/>
      <c r="CH24" s="918"/>
      <c r="CI24" s="918"/>
      <c r="CJ24" s="774">
        <f t="shared" si="23"/>
        <v>0</v>
      </c>
      <c r="CK24" s="915"/>
    </row>
    <row r="25" spans="1:92" ht="23.25" customHeight="1" x14ac:dyDescent="0.25">
      <c r="A25" s="342">
        <v>18</v>
      </c>
      <c r="B25" s="1222">
        <v>0</v>
      </c>
      <c r="C25" s="451"/>
      <c r="D25" s="418">
        <f t="shared" si="9"/>
        <v>100</v>
      </c>
      <c r="E25" s="918">
        <v>0</v>
      </c>
      <c r="F25" s="1234">
        <v>0</v>
      </c>
      <c r="G25" s="1065">
        <v>0</v>
      </c>
      <c r="H25" s="1225">
        <v>0</v>
      </c>
      <c r="I25" s="421">
        <f t="shared" si="10"/>
        <v>0</v>
      </c>
      <c r="J25" s="492" t="s">
        <v>90</v>
      </c>
      <c r="K25" s="423">
        <f t="shared" si="0"/>
        <v>0</v>
      </c>
      <c r="L25" s="494" t="s">
        <v>240</v>
      </c>
      <c r="M25" s="425">
        <f t="shared" si="1"/>
        <v>10</v>
      </c>
      <c r="N25" s="1229"/>
      <c r="O25" s="585">
        <f t="shared" si="11"/>
        <v>0</v>
      </c>
      <c r="P25" s="583">
        <f t="shared" si="2"/>
        <v>0</v>
      </c>
      <c r="Q25" s="499">
        <f t="shared" si="12"/>
        <v>0</v>
      </c>
      <c r="R25" s="409">
        <f t="shared" si="13"/>
        <v>0</v>
      </c>
      <c r="S25" s="16"/>
      <c r="T25" s="958">
        <f t="shared" si="24"/>
        <v>18</v>
      </c>
      <c r="U25" s="899"/>
      <c r="V25" s="887" t="s">
        <v>805</v>
      </c>
      <c r="W25" s="978">
        <v>0</v>
      </c>
      <c r="X25" s="687">
        <f>VLOOKUP(V25,Düngemittel!$B$6:$E$64,2,FALSE)*(VLOOKUP(V25,Düngemittel!$B$6:$E$64,3,FALSE))/100*W25</f>
        <v>0</v>
      </c>
      <c r="Y25" s="687">
        <f>VLOOKUP(V25,Düngemittel!$B$6:$E$64,2,FALSE)*W25</f>
        <v>0</v>
      </c>
      <c r="Z25" s="687">
        <f>VLOOKUP(V25,Düngemittel!$B$6:$E$64,4,FALSE)*W25</f>
        <v>0</v>
      </c>
      <c r="AA25" s="666"/>
      <c r="AB25" s="899"/>
      <c r="AC25" s="887" t="s">
        <v>805</v>
      </c>
      <c r="AD25" s="978">
        <v>0</v>
      </c>
      <c r="AE25" s="687">
        <f>VLOOKUP(AC25,Düngemittel!$B$6:$E$64,2,FALSE)*(VLOOKUP(AC25,Düngemittel!$B$6:$E$64,3,FALSE))/100*AD25</f>
        <v>0</v>
      </c>
      <c r="AF25" s="687">
        <f>VLOOKUP(AC25,Düngemittel!$B$6:$E$64,2,FALSE)*AD25</f>
        <v>0</v>
      </c>
      <c r="AG25" s="687">
        <f>VLOOKUP(AC25,Düngemittel!$B$6:$E$64,4,FALSE)*AD25</f>
        <v>0</v>
      </c>
      <c r="AH25" s="666"/>
      <c r="AI25" s="899"/>
      <c r="AJ25" s="887" t="s">
        <v>805</v>
      </c>
      <c r="AK25" s="978">
        <v>0</v>
      </c>
      <c r="AL25" s="687">
        <f>VLOOKUP(AJ25,Düngemittel!$B$6:$E$64,2,FALSE)*(VLOOKUP(AJ25,Düngemittel!$B$6:$E$64,3,FALSE))/100*AK25</f>
        <v>0</v>
      </c>
      <c r="AM25" s="687">
        <f>VLOOKUP(AJ25,Düngemittel!$B$6:$E$64,2,FALSE)*AK25</f>
        <v>0</v>
      </c>
      <c r="AN25" s="687">
        <f>VLOOKUP(AJ25,Düngemittel!$B$6:$E$64,4,FALSE)*AK25</f>
        <v>0</v>
      </c>
      <c r="AO25" s="666"/>
      <c r="AP25" s="899"/>
      <c r="AQ25" s="887" t="s">
        <v>805</v>
      </c>
      <c r="AR25" s="978">
        <v>0</v>
      </c>
      <c r="AS25" s="687">
        <f>VLOOKUP(AQ25,Düngemittel!$B$6:$E$64,2,FALSE)*(VLOOKUP(AQ25,Düngemittel!$B$6:$E$64,3,FALSE))/100*AR25</f>
        <v>0</v>
      </c>
      <c r="AT25" s="687">
        <f>VLOOKUP(AQ25,Düngemittel!$B$6:$E$64,2,FALSE)*AR25</f>
        <v>0</v>
      </c>
      <c r="AU25" s="687">
        <f>VLOOKUP(AQ25,Düngemittel!$B$6:$E$64,4,FALSE)*AR25</f>
        <v>0</v>
      </c>
      <c r="AV25" s="666"/>
      <c r="AW25" s="899"/>
      <c r="AX25" s="887" t="s">
        <v>805</v>
      </c>
      <c r="AY25" s="978">
        <v>0</v>
      </c>
      <c r="AZ25" s="687">
        <f>VLOOKUP(AX25,Düngemittel!$B$6:$E$64,2,FALSE)*(VLOOKUP(AX25,Düngemittel!$B$6:$E$64,3,FALSE))/100*AY25</f>
        <v>0</v>
      </c>
      <c r="BA25" s="687">
        <f>VLOOKUP(AX25,Düngemittel!$B$6:$E$64,2,FALSE)*AY25</f>
        <v>0</v>
      </c>
      <c r="BB25" s="774">
        <f>VLOOKUP(AX25,Düngemittel!$B$6:$E$64,4,FALSE)*AY25</f>
        <v>0</v>
      </c>
      <c r="BC25" s="666"/>
      <c r="BD25" s="853">
        <f t="shared" si="3"/>
        <v>0</v>
      </c>
      <c r="BE25" s="308">
        <f t="shared" si="4"/>
        <v>0</v>
      </c>
      <c r="BF25" s="853">
        <f t="shared" si="5"/>
        <v>0</v>
      </c>
      <c r="BG25" s="777">
        <f t="shared" si="6"/>
        <v>0</v>
      </c>
      <c r="BH25" s="308">
        <f t="shared" si="7"/>
        <v>0</v>
      </c>
      <c r="BI25" s="785"/>
      <c r="BJ25" s="853">
        <f t="shared" si="14"/>
        <v>0</v>
      </c>
      <c r="BK25" s="853">
        <f t="shared" si="15"/>
        <v>0</v>
      </c>
      <c r="BL25" s="853">
        <f t="shared" si="16"/>
        <v>0</v>
      </c>
      <c r="BM25" s="853">
        <f t="shared" si="17"/>
        <v>0</v>
      </c>
      <c r="BN25" s="853">
        <f t="shared" si="18"/>
        <v>0</v>
      </c>
      <c r="BO25" s="16"/>
      <c r="BP25" s="16"/>
      <c r="BQ25" s="984">
        <f t="shared" si="19"/>
        <v>18</v>
      </c>
      <c r="BR25" s="985">
        <f t="shared" si="20"/>
        <v>0</v>
      </c>
      <c r="BS25" s="919"/>
      <c r="BT25" s="974"/>
      <c r="BU25" s="918"/>
      <c r="BV25" s="918"/>
      <c r="BW25" s="918"/>
      <c r="BX25" s="774">
        <f t="shared" si="21"/>
        <v>0</v>
      </c>
      <c r="BY25" s="919"/>
      <c r="BZ25" s="974"/>
      <c r="CA25" s="918"/>
      <c r="CB25" s="918"/>
      <c r="CC25" s="918"/>
      <c r="CD25" s="774">
        <f t="shared" si="22"/>
        <v>0</v>
      </c>
      <c r="CE25" s="919"/>
      <c r="CF25" s="974"/>
      <c r="CG25" s="918"/>
      <c r="CH25" s="918"/>
      <c r="CI25" s="918"/>
      <c r="CJ25" s="774">
        <f t="shared" si="23"/>
        <v>0</v>
      </c>
      <c r="CK25" s="915"/>
    </row>
    <row r="26" spans="1:92" ht="23.25" customHeight="1" x14ac:dyDescent="0.25">
      <c r="A26" s="342">
        <v>19</v>
      </c>
      <c r="B26" s="1222">
        <v>0</v>
      </c>
      <c r="C26" s="451"/>
      <c r="D26" s="418">
        <f t="shared" si="9"/>
        <v>100</v>
      </c>
      <c r="E26" s="918">
        <v>0</v>
      </c>
      <c r="F26" s="1234">
        <v>0</v>
      </c>
      <c r="G26" s="1065">
        <v>0</v>
      </c>
      <c r="H26" s="1225">
        <v>0</v>
      </c>
      <c r="I26" s="421">
        <f t="shared" si="10"/>
        <v>0</v>
      </c>
      <c r="J26" s="492" t="s">
        <v>90</v>
      </c>
      <c r="K26" s="423">
        <f t="shared" si="0"/>
        <v>0</v>
      </c>
      <c r="L26" s="494" t="s">
        <v>240</v>
      </c>
      <c r="M26" s="425">
        <f t="shared" si="1"/>
        <v>10</v>
      </c>
      <c r="N26" s="1229"/>
      <c r="O26" s="585">
        <f t="shared" si="11"/>
        <v>0</v>
      </c>
      <c r="P26" s="583">
        <f t="shared" si="2"/>
        <v>0</v>
      </c>
      <c r="Q26" s="499">
        <f t="shared" si="12"/>
        <v>0</v>
      </c>
      <c r="R26" s="409">
        <f t="shared" si="13"/>
        <v>0</v>
      </c>
      <c r="S26" s="16"/>
      <c r="T26" s="958">
        <f t="shared" si="24"/>
        <v>19</v>
      </c>
      <c r="U26" s="899"/>
      <c r="V26" s="887" t="s">
        <v>805</v>
      </c>
      <c r="W26" s="978">
        <v>0</v>
      </c>
      <c r="X26" s="687">
        <f>VLOOKUP(V26,Düngemittel!$B$6:$E$64,2,FALSE)*(VLOOKUP(V26,Düngemittel!$B$6:$E$64,3,FALSE))/100*W26</f>
        <v>0</v>
      </c>
      <c r="Y26" s="687">
        <f>VLOOKUP(V26,Düngemittel!$B$6:$E$64,2,FALSE)*W26</f>
        <v>0</v>
      </c>
      <c r="Z26" s="687">
        <f>VLOOKUP(V26,Düngemittel!$B$6:$E$64,4,FALSE)*W26</f>
        <v>0</v>
      </c>
      <c r="AA26" s="666"/>
      <c r="AB26" s="899"/>
      <c r="AC26" s="887" t="s">
        <v>805</v>
      </c>
      <c r="AD26" s="978">
        <v>0</v>
      </c>
      <c r="AE26" s="687">
        <f>VLOOKUP(AC26,Düngemittel!$B$6:$E$64,2,FALSE)*(VLOOKUP(AC26,Düngemittel!$B$6:$E$64,3,FALSE))/100*AD26</f>
        <v>0</v>
      </c>
      <c r="AF26" s="687">
        <f>VLOOKUP(AC26,Düngemittel!$B$6:$E$64,2,FALSE)*AD26</f>
        <v>0</v>
      </c>
      <c r="AG26" s="687">
        <f>VLOOKUP(AC26,Düngemittel!$B$6:$E$64,4,FALSE)*AD26</f>
        <v>0</v>
      </c>
      <c r="AH26" s="666"/>
      <c r="AI26" s="899"/>
      <c r="AJ26" s="887" t="s">
        <v>805</v>
      </c>
      <c r="AK26" s="978">
        <v>0</v>
      </c>
      <c r="AL26" s="687">
        <f>VLOOKUP(AJ26,Düngemittel!$B$6:$E$64,2,FALSE)*(VLOOKUP(AJ26,Düngemittel!$B$6:$E$64,3,FALSE))/100*AK26</f>
        <v>0</v>
      </c>
      <c r="AM26" s="687">
        <f>VLOOKUP(AJ26,Düngemittel!$B$6:$E$64,2,FALSE)*AK26</f>
        <v>0</v>
      </c>
      <c r="AN26" s="687">
        <f>VLOOKUP(AJ26,Düngemittel!$B$6:$E$64,4,FALSE)*AK26</f>
        <v>0</v>
      </c>
      <c r="AO26" s="666"/>
      <c r="AP26" s="899"/>
      <c r="AQ26" s="887" t="s">
        <v>805</v>
      </c>
      <c r="AR26" s="978">
        <v>0</v>
      </c>
      <c r="AS26" s="687">
        <f>VLOOKUP(AQ26,Düngemittel!$B$6:$E$64,2,FALSE)*(VLOOKUP(AQ26,Düngemittel!$B$6:$E$64,3,FALSE))/100*AR26</f>
        <v>0</v>
      </c>
      <c r="AT26" s="687">
        <f>VLOOKUP(AQ26,Düngemittel!$B$6:$E$64,2,FALSE)*AR26</f>
        <v>0</v>
      </c>
      <c r="AU26" s="687">
        <f>VLOOKUP(AQ26,Düngemittel!$B$6:$E$64,4,FALSE)*AR26</f>
        <v>0</v>
      </c>
      <c r="AV26" s="666"/>
      <c r="AW26" s="899"/>
      <c r="AX26" s="887" t="s">
        <v>805</v>
      </c>
      <c r="AY26" s="978">
        <v>0</v>
      </c>
      <c r="AZ26" s="687">
        <f>VLOOKUP(AX26,Düngemittel!$B$6:$E$64,2,FALSE)*(VLOOKUP(AX26,Düngemittel!$B$6:$E$64,3,FALSE))/100*AY26</f>
        <v>0</v>
      </c>
      <c r="BA26" s="687">
        <f>VLOOKUP(AX26,Düngemittel!$B$6:$E$64,2,FALSE)*AY26</f>
        <v>0</v>
      </c>
      <c r="BB26" s="774">
        <f>VLOOKUP(AX26,Düngemittel!$B$6:$E$64,4,FALSE)*AY26</f>
        <v>0</v>
      </c>
      <c r="BC26" s="666"/>
      <c r="BD26" s="853">
        <f t="shared" si="3"/>
        <v>0</v>
      </c>
      <c r="BE26" s="308">
        <f t="shared" si="4"/>
        <v>0</v>
      </c>
      <c r="BF26" s="853">
        <f t="shared" si="5"/>
        <v>0</v>
      </c>
      <c r="BG26" s="777">
        <f t="shared" si="6"/>
        <v>0</v>
      </c>
      <c r="BH26" s="308">
        <f t="shared" si="7"/>
        <v>0</v>
      </c>
      <c r="BI26" s="785"/>
      <c r="BJ26" s="853">
        <f t="shared" si="14"/>
        <v>0</v>
      </c>
      <c r="BK26" s="853">
        <f t="shared" si="15"/>
        <v>0</v>
      </c>
      <c r="BL26" s="853">
        <f t="shared" si="16"/>
        <v>0</v>
      </c>
      <c r="BM26" s="853">
        <f t="shared" si="17"/>
        <v>0</v>
      </c>
      <c r="BN26" s="853">
        <f t="shared" si="18"/>
        <v>0</v>
      </c>
      <c r="BO26" s="16"/>
      <c r="BP26" s="16"/>
      <c r="BQ26" s="984">
        <f t="shared" si="19"/>
        <v>19</v>
      </c>
      <c r="BR26" s="985">
        <f t="shared" si="20"/>
        <v>0</v>
      </c>
      <c r="BS26" s="919"/>
      <c r="BT26" s="974"/>
      <c r="BU26" s="918"/>
      <c r="BV26" s="918"/>
      <c r="BW26" s="918"/>
      <c r="BX26" s="774">
        <f t="shared" si="21"/>
        <v>0</v>
      </c>
      <c r="BY26" s="919"/>
      <c r="BZ26" s="974"/>
      <c r="CA26" s="918"/>
      <c r="CB26" s="918"/>
      <c r="CC26" s="918"/>
      <c r="CD26" s="774">
        <f t="shared" si="22"/>
        <v>0</v>
      </c>
      <c r="CE26" s="919"/>
      <c r="CF26" s="974"/>
      <c r="CG26" s="918"/>
      <c r="CH26" s="918"/>
      <c r="CI26" s="918"/>
      <c r="CJ26" s="774">
        <f t="shared" si="23"/>
        <v>0</v>
      </c>
      <c r="CK26" s="915"/>
    </row>
    <row r="27" spans="1:92" ht="23.25" customHeight="1" x14ac:dyDescent="0.25">
      <c r="A27" s="342">
        <v>20</v>
      </c>
      <c r="B27" s="1222">
        <v>0</v>
      </c>
      <c r="C27" s="451"/>
      <c r="D27" s="418">
        <f t="shared" si="9"/>
        <v>100</v>
      </c>
      <c r="E27" s="918">
        <v>0</v>
      </c>
      <c r="F27" s="1234">
        <v>0</v>
      </c>
      <c r="G27" s="1065">
        <v>0</v>
      </c>
      <c r="H27" s="1225">
        <v>0</v>
      </c>
      <c r="I27" s="421">
        <f t="shared" si="10"/>
        <v>0</v>
      </c>
      <c r="J27" s="492" t="s">
        <v>90</v>
      </c>
      <c r="K27" s="423">
        <f t="shared" si="0"/>
        <v>0</v>
      </c>
      <c r="L27" s="494" t="s">
        <v>240</v>
      </c>
      <c r="M27" s="425">
        <f t="shared" si="1"/>
        <v>10</v>
      </c>
      <c r="N27" s="1229"/>
      <c r="O27" s="585">
        <f t="shared" si="11"/>
        <v>0</v>
      </c>
      <c r="P27" s="583">
        <f t="shared" si="2"/>
        <v>0</v>
      </c>
      <c r="Q27" s="499">
        <f t="shared" si="12"/>
        <v>0</v>
      </c>
      <c r="R27" s="409">
        <f t="shared" si="13"/>
        <v>0</v>
      </c>
      <c r="S27" s="16"/>
      <c r="T27" s="958">
        <f t="shared" si="24"/>
        <v>20</v>
      </c>
      <c r="U27" s="899"/>
      <c r="V27" s="887" t="s">
        <v>805</v>
      </c>
      <c r="W27" s="978">
        <v>0</v>
      </c>
      <c r="X27" s="687">
        <f>VLOOKUP(V27,Düngemittel!$B$6:$E$64,2,FALSE)*(VLOOKUP(V27,Düngemittel!$B$6:$E$64,3,FALSE))/100*W27</f>
        <v>0</v>
      </c>
      <c r="Y27" s="687">
        <f>VLOOKUP(V27,Düngemittel!$B$6:$E$64,2,FALSE)*W27</f>
        <v>0</v>
      </c>
      <c r="Z27" s="687">
        <f>VLOOKUP(V27,Düngemittel!$B$6:$E$64,4,FALSE)*W27</f>
        <v>0</v>
      </c>
      <c r="AA27" s="666"/>
      <c r="AB27" s="899"/>
      <c r="AC27" s="887" t="s">
        <v>805</v>
      </c>
      <c r="AD27" s="978">
        <v>0</v>
      </c>
      <c r="AE27" s="687">
        <f>VLOOKUP(AC27,Düngemittel!$B$6:$E$64,2,FALSE)*(VLOOKUP(AC27,Düngemittel!$B$6:$E$64,3,FALSE))/100*AD27</f>
        <v>0</v>
      </c>
      <c r="AF27" s="687">
        <f>VLOOKUP(AC27,Düngemittel!$B$6:$E$64,2,FALSE)*AD27</f>
        <v>0</v>
      </c>
      <c r="AG27" s="687">
        <f>VLOOKUP(AC27,Düngemittel!$B$6:$E$64,4,FALSE)*AD27</f>
        <v>0</v>
      </c>
      <c r="AH27" s="666"/>
      <c r="AI27" s="899"/>
      <c r="AJ27" s="887" t="s">
        <v>805</v>
      </c>
      <c r="AK27" s="978">
        <v>0</v>
      </c>
      <c r="AL27" s="687">
        <f>VLOOKUP(AJ27,Düngemittel!$B$6:$E$64,2,FALSE)*(VLOOKUP(AJ27,Düngemittel!$B$6:$E$64,3,FALSE))/100*AK27</f>
        <v>0</v>
      </c>
      <c r="AM27" s="687">
        <f>VLOOKUP(AJ27,Düngemittel!$B$6:$E$64,2,FALSE)*AK27</f>
        <v>0</v>
      </c>
      <c r="AN27" s="687">
        <f>VLOOKUP(AJ27,Düngemittel!$B$6:$E$64,4,FALSE)*AK27</f>
        <v>0</v>
      </c>
      <c r="AO27" s="666"/>
      <c r="AP27" s="899"/>
      <c r="AQ27" s="887" t="s">
        <v>805</v>
      </c>
      <c r="AR27" s="978">
        <v>0</v>
      </c>
      <c r="AS27" s="687">
        <f>VLOOKUP(AQ27,Düngemittel!$B$6:$E$64,2,FALSE)*(VLOOKUP(AQ27,Düngemittel!$B$6:$E$64,3,FALSE))/100*AR27</f>
        <v>0</v>
      </c>
      <c r="AT27" s="687">
        <f>VLOOKUP(AQ27,Düngemittel!$B$6:$E$64,2,FALSE)*AR27</f>
        <v>0</v>
      </c>
      <c r="AU27" s="687">
        <f>VLOOKUP(AQ27,Düngemittel!$B$6:$E$64,4,FALSE)*AR27</f>
        <v>0</v>
      </c>
      <c r="AV27" s="666"/>
      <c r="AW27" s="899"/>
      <c r="AX27" s="887" t="s">
        <v>805</v>
      </c>
      <c r="AY27" s="978">
        <v>0</v>
      </c>
      <c r="AZ27" s="687">
        <f>VLOOKUP(AX27,Düngemittel!$B$6:$E$64,2,FALSE)*(VLOOKUP(AX27,Düngemittel!$B$6:$E$64,3,FALSE))/100*AY27</f>
        <v>0</v>
      </c>
      <c r="BA27" s="687">
        <f>VLOOKUP(AX27,Düngemittel!$B$6:$E$64,2,FALSE)*AY27</f>
        <v>0</v>
      </c>
      <c r="BB27" s="774">
        <f>VLOOKUP(AX27,Düngemittel!$B$6:$E$64,4,FALSE)*AY27</f>
        <v>0</v>
      </c>
      <c r="BC27" s="666"/>
      <c r="BD27" s="853">
        <f t="shared" si="3"/>
        <v>0</v>
      </c>
      <c r="BE27" s="308">
        <f t="shared" si="4"/>
        <v>0</v>
      </c>
      <c r="BF27" s="853">
        <f t="shared" si="5"/>
        <v>0</v>
      </c>
      <c r="BG27" s="777">
        <f t="shared" si="6"/>
        <v>0</v>
      </c>
      <c r="BH27" s="308">
        <f t="shared" si="7"/>
        <v>0</v>
      </c>
      <c r="BI27" s="785"/>
      <c r="BJ27" s="853">
        <f t="shared" si="14"/>
        <v>0</v>
      </c>
      <c r="BK27" s="853">
        <f t="shared" si="15"/>
        <v>0</v>
      </c>
      <c r="BL27" s="853">
        <f t="shared" si="16"/>
        <v>0</v>
      </c>
      <c r="BM27" s="853">
        <f t="shared" si="17"/>
        <v>0</v>
      </c>
      <c r="BN27" s="853">
        <f t="shared" si="18"/>
        <v>0</v>
      </c>
      <c r="BO27" s="16"/>
      <c r="BP27" s="16"/>
      <c r="BQ27" s="984">
        <f t="shared" si="19"/>
        <v>20</v>
      </c>
      <c r="BR27" s="985">
        <f t="shared" si="20"/>
        <v>0</v>
      </c>
      <c r="BS27" s="919"/>
      <c r="BT27" s="974"/>
      <c r="BU27" s="918"/>
      <c r="BV27" s="918"/>
      <c r="BW27" s="918"/>
      <c r="BX27" s="774">
        <f t="shared" si="21"/>
        <v>0</v>
      </c>
      <c r="BY27" s="919"/>
      <c r="BZ27" s="974"/>
      <c r="CA27" s="918"/>
      <c r="CB27" s="918"/>
      <c r="CC27" s="918"/>
      <c r="CD27" s="774">
        <f t="shared" si="22"/>
        <v>0</v>
      </c>
      <c r="CE27" s="919"/>
      <c r="CF27" s="974"/>
      <c r="CG27" s="918"/>
      <c r="CH27" s="918"/>
      <c r="CI27" s="918"/>
      <c r="CJ27" s="774">
        <f t="shared" si="23"/>
        <v>0</v>
      </c>
      <c r="CK27" s="915"/>
    </row>
    <row r="28" spans="1:92" ht="23.25" customHeight="1" x14ac:dyDescent="0.25">
      <c r="A28" s="342">
        <v>21</v>
      </c>
      <c r="B28" s="1222">
        <v>0</v>
      </c>
      <c r="C28" s="451"/>
      <c r="D28" s="418">
        <f t="shared" si="9"/>
        <v>100</v>
      </c>
      <c r="E28" s="918">
        <v>0</v>
      </c>
      <c r="F28" s="1234">
        <v>0</v>
      </c>
      <c r="G28" s="1065">
        <v>0</v>
      </c>
      <c r="H28" s="1225">
        <v>0</v>
      </c>
      <c r="I28" s="421">
        <f t="shared" si="10"/>
        <v>0</v>
      </c>
      <c r="J28" s="492" t="s">
        <v>90</v>
      </c>
      <c r="K28" s="423">
        <f t="shared" si="0"/>
        <v>0</v>
      </c>
      <c r="L28" s="494" t="s">
        <v>240</v>
      </c>
      <c r="M28" s="425">
        <f t="shared" si="1"/>
        <v>10</v>
      </c>
      <c r="N28" s="1229"/>
      <c r="O28" s="585">
        <f t="shared" si="11"/>
        <v>0</v>
      </c>
      <c r="P28" s="583">
        <f t="shared" si="2"/>
        <v>0</v>
      </c>
      <c r="Q28" s="499">
        <f t="shared" si="12"/>
        <v>0</v>
      </c>
      <c r="R28" s="409">
        <f t="shared" si="13"/>
        <v>0</v>
      </c>
      <c r="S28" s="16"/>
      <c r="T28" s="958">
        <f t="shared" si="24"/>
        <v>21</v>
      </c>
      <c r="U28" s="899"/>
      <c r="V28" s="887" t="s">
        <v>805</v>
      </c>
      <c r="W28" s="978">
        <v>0</v>
      </c>
      <c r="X28" s="687">
        <f>VLOOKUP(V28,Düngemittel!$B$6:$E$64,2,FALSE)*(VLOOKUP(V28,Düngemittel!$B$6:$E$64,3,FALSE))/100*W28</f>
        <v>0</v>
      </c>
      <c r="Y28" s="687">
        <f>VLOOKUP(V28,Düngemittel!$B$6:$E$64,2,FALSE)*W28</f>
        <v>0</v>
      </c>
      <c r="Z28" s="687">
        <f>VLOOKUP(V28,Düngemittel!$B$6:$E$64,4,FALSE)*W28</f>
        <v>0</v>
      </c>
      <c r="AA28" s="666"/>
      <c r="AB28" s="899"/>
      <c r="AC28" s="887" t="s">
        <v>805</v>
      </c>
      <c r="AD28" s="978">
        <v>0</v>
      </c>
      <c r="AE28" s="687">
        <f>VLOOKUP(AC28,Düngemittel!$B$6:$E$64,2,FALSE)*(VLOOKUP(AC28,Düngemittel!$B$6:$E$64,3,FALSE))/100*AD28</f>
        <v>0</v>
      </c>
      <c r="AF28" s="687">
        <f>VLOOKUP(AC28,Düngemittel!$B$6:$E$64,2,FALSE)*AD28</f>
        <v>0</v>
      </c>
      <c r="AG28" s="687">
        <f>VLOOKUP(AC28,Düngemittel!$B$6:$E$64,4,FALSE)*AD28</f>
        <v>0</v>
      </c>
      <c r="AH28" s="666"/>
      <c r="AI28" s="899"/>
      <c r="AJ28" s="887" t="s">
        <v>805</v>
      </c>
      <c r="AK28" s="978">
        <v>0</v>
      </c>
      <c r="AL28" s="687">
        <f>VLOOKUP(AJ28,Düngemittel!$B$6:$E$64,2,FALSE)*(VLOOKUP(AJ28,Düngemittel!$B$6:$E$64,3,FALSE))/100*AK28</f>
        <v>0</v>
      </c>
      <c r="AM28" s="687">
        <f>VLOOKUP(AJ28,Düngemittel!$B$6:$E$64,2,FALSE)*AK28</f>
        <v>0</v>
      </c>
      <c r="AN28" s="687">
        <f>VLOOKUP(AJ28,Düngemittel!$B$6:$E$64,4,FALSE)*AK28</f>
        <v>0</v>
      </c>
      <c r="AO28" s="666"/>
      <c r="AP28" s="899"/>
      <c r="AQ28" s="887" t="s">
        <v>805</v>
      </c>
      <c r="AR28" s="978">
        <v>0</v>
      </c>
      <c r="AS28" s="687">
        <f>VLOOKUP(AQ28,Düngemittel!$B$6:$E$64,2,FALSE)*(VLOOKUP(AQ28,Düngemittel!$B$6:$E$64,3,FALSE))/100*AR28</f>
        <v>0</v>
      </c>
      <c r="AT28" s="687">
        <f>VLOOKUP(AQ28,Düngemittel!$B$6:$E$64,2,FALSE)*AR28</f>
        <v>0</v>
      </c>
      <c r="AU28" s="687">
        <f>VLOOKUP(AQ28,Düngemittel!$B$6:$E$64,4,FALSE)*AR28</f>
        <v>0</v>
      </c>
      <c r="AV28" s="666"/>
      <c r="AW28" s="899"/>
      <c r="AX28" s="887" t="s">
        <v>805</v>
      </c>
      <c r="AY28" s="978">
        <v>0</v>
      </c>
      <c r="AZ28" s="687">
        <f>VLOOKUP(AX28,Düngemittel!$B$6:$E$64,2,FALSE)*(VLOOKUP(AX28,Düngemittel!$B$6:$E$64,3,FALSE))/100*AY28</f>
        <v>0</v>
      </c>
      <c r="BA28" s="687">
        <f>VLOOKUP(AX28,Düngemittel!$B$6:$E$64,2,FALSE)*AY28</f>
        <v>0</v>
      </c>
      <c r="BB28" s="774">
        <f>VLOOKUP(AX28,Düngemittel!$B$6:$E$64,4,FALSE)*AY28</f>
        <v>0</v>
      </c>
      <c r="BC28" s="666"/>
      <c r="BD28" s="853">
        <f t="shared" si="3"/>
        <v>0</v>
      </c>
      <c r="BE28" s="308">
        <f t="shared" si="4"/>
        <v>0</v>
      </c>
      <c r="BF28" s="853">
        <f t="shared" si="5"/>
        <v>0</v>
      </c>
      <c r="BG28" s="777">
        <f t="shared" si="6"/>
        <v>0</v>
      </c>
      <c r="BH28" s="308">
        <f t="shared" si="7"/>
        <v>0</v>
      </c>
      <c r="BI28" s="785"/>
      <c r="BJ28" s="853">
        <f t="shared" si="14"/>
        <v>0</v>
      </c>
      <c r="BK28" s="853">
        <f t="shared" si="15"/>
        <v>0</v>
      </c>
      <c r="BL28" s="853">
        <f t="shared" si="16"/>
        <v>0</v>
      </c>
      <c r="BM28" s="853">
        <f t="shared" si="17"/>
        <v>0</v>
      </c>
      <c r="BN28" s="853">
        <f t="shared" si="18"/>
        <v>0</v>
      </c>
      <c r="BO28" s="16"/>
      <c r="BP28" s="16"/>
      <c r="BQ28" s="984">
        <f t="shared" si="19"/>
        <v>21</v>
      </c>
      <c r="BR28" s="985">
        <f t="shared" si="20"/>
        <v>0</v>
      </c>
      <c r="BS28" s="919"/>
      <c r="BT28" s="974"/>
      <c r="BU28" s="918"/>
      <c r="BV28" s="918"/>
      <c r="BW28" s="918"/>
      <c r="BX28" s="774">
        <f t="shared" si="21"/>
        <v>0</v>
      </c>
      <c r="BY28" s="919"/>
      <c r="BZ28" s="974"/>
      <c r="CA28" s="918"/>
      <c r="CB28" s="918"/>
      <c r="CC28" s="918"/>
      <c r="CD28" s="774">
        <f t="shared" si="22"/>
        <v>0</v>
      </c>
      <c r="CE28" s="919"/>
      <c r="CF28" s="974"/>
      <c r="CG28" s="918"/>
      <c r="CH28" s="918"/>
      <c r="CI28" s="918"/>
      <c r="CJ28" s="774">
        <f t="shared" si="23"/>
        <v>0</v>
      </c>
      <c r="CK28" s="915"/>
    </row>
    <row r="29" spans="1:92" ht="23.25" customHeight="1" x14ac:dyDescent="0.25">
      <c r="A29" s="342">
        <v>22</v>
      </c>
      <c r="B29" s="1222">
        <v>0</v>
      </c>
      <c r="C29" s="455"/>
      <c r="D29" s="418">
        <f t="shared" si="9"/>
        <v>100</v>
      </c>
      <c r="E29" s="918">
        <v>0</v>
      </c>
      <c r="F29" s="1234">
        <v>0</v>
      </c>
      <c r="G29" s="1065">
        <v>0</v>
      </c>
      <c r="H29" s="1225">
        <v>0</v>
      </c>
      <c r="I29" s="421">
        <f t="shared" si="10"/>
        <v>0</v>
      </c>
      <c r="J29" s="492" t="s">
        <v>90</v>
      </c>
      <c r="K29" s="423">
        <f t="shared" si="0"/>
        <v>0</v>
      </c>
      <c r="L29" s="494" t="s">
        <v>240</v>
      </c>
      <c r="M29" s="425">
        <f t="shared" si="1"/>
        <v>10</v>
      </c>
      <c r="N29" s="1229"/>
      <c r="O29" s="585">
        <f t="shared" si="11"/>
        <v>0</v>
      </c>
      <c r="P29" s="583">
        <f t="shared" si="2"/>
        <v>0</v>
      </c>
      <c r="Q29" s="499">
        <f t="shared" si="12"/>
        <v>0</v>
      </c>
      <c r="R29" s="409">
        <f t="shared" si="13"/>
        <v>0</v>
      </c>
      <c r="S29" s="16"/>
      <c r="T29" s="958">
        <f t="shared" si="24"/>
        <v>22</v>
      </c>
      <c r="U29" s="899"/>
      <c r="V29" s="887" t="s">
        <v>805</v>
      </c>
      <c r="W29" s="978">
        <v>0</v>
      </c>
      <c r="X29" s="687">
        <f>VLOOKUP(V29,Düngemittel!$B$6:$E$64,2,FALSE)*(VLOOKUP(V29,Düngemittel!$B$6:$E$64,3,FALSE))/100*W29</f>
        <v>0</v>
      </c>
      <c r="Y29" s="687">
        <f>VLOOKUP(V29,Düngemittel!$B$6:$E$64,2,FALSE)*W29</f>
        <v>0</v>
      </c>
      <c r="Z29" s="687">
        <f>VLOOKUP(V29,Düngemittel!$B$6:$E$64,4,FALSE)*W29</f>
        <v>0</v>
      </c>
      <c r="AA29" s="666"/>
      <c r="AB29" s="899"/>
      <c r="AC29" s="887" t="s">
        <v>805</v>
      </c>
      <c r="AD29" s="978">
        <v>0</v>
      </c>
      <c r="AE29" s="687">
        <f>VLOOKUP(AC29,Düngemittel!$B$6:$E$64,2,FALSE)*(VLOOKUP(AC29,Düngemittel!$B$6:$E$64,3,FALSE))/100*AD29</f>
        <v>0</v>
      </c>
      <c r="AF29" s="687">
        <f>VLOOKUP(AC29,Düngemittel!$B$6:$E$64,2,FALSE)*AD29</f>
        <v>0</v>
      </c>
      <c r="AG29" s="687">
        <f>VLOOKUP(AC29,Düngemittel!$B$6:$E$64,4,FALSE)*AD29</f>
        <v>0</v>
      </c>
      <c r="AH29" s="666"/>
      <c r="AI29" s="899"/>
      <c r="AJ29" s="887" t="s">
        <v>805</v>
      </c>
      <c r="AK29" s="978">
        <v>0</v>
      </c>
      <c r="AL29" s="687">
        <f>VLOOKUP(AJ29,Düngemittel!$B$6:$E$64,2,FALSE)*(VLOOKUP(AJ29,Düngemittel!$B$6:$E$64,3,FALSE))/100*AK29</f>
        <v>0</v>
      </c>
      <c r="AM29" s="687">
        <f>VLOOKUP(AJ29,Düngemittel!$B$6:$E$64,2,FALSE)*AK29</f>
        <v>0</v>
      </c>
      <c r="AN29" s="687">
        <f>VLOOKUP(AJ29,Düngemittel!$B$6:$E$64,4,FALSE)*AK29</f>
        <v>0</v>
      </c>
      <c r="AO29" s="666"/>
      <c r="AP29" s="899"/>
      <c r="AQ29" s="887" t="s">
        <v>805</v>
      </c>
      <c r="AR29" s="978">
        <v>0</v>
      </c>
      <c r="AS29" s="687">
        <f>VLOOKUP(AQ29,Düngemittel!$B$6:$E$64,2,FALSE)*(VLOOKUP(AQ29,Düngemittel!$B$6:$E$64,3,FALSE))/100*AR29</f>
        <v>0</v>
      </c>
      <c r="AT29" s="687">
        <f>VLOOKUP(AQ29,Düngemittel!$B$6:$E$64,2,FALSE)*AR29</f>
        <v>0</v>
      </c>
      <c r="AU29" s="687">
        <f>VLOOKUP(AQ29,Düngemittel!$B$6:$E$64,4,FALSE)*AR29</f>
        <v>0</v>
      </c>
      <c r="AV29" s="666"/>
      <c r="AW29" s="899"/>
      <c r="AX29" s="887" t="s">
        <v>805</v>
      </c>
      <c r="AY29" s="978">
        <v>0</v>
      </c>
      <c r="AZ29" s="687">
        <f>VLOOKUP(AX29,Düngemittel!$B$6:$E$64,2,FALSE)*(VLOOKUP(AX29,Düngemittel!$B$6:$E$64,3,FALSE))/100*AY29</f>
        <v>0</v>
      </c>
      <c r="BA29" s="687">
        <f>VLOOKUP(AX29,Düngemittel!$B$6:$E$64,2,FALSE)*AY29</f>
        <v>0</v>
      </c>
      <c r="BB29" s="774">
        <f>VLOOKUP(AX29,Düngemittel!$B$6:$E$64,4,FALSE)*AY29</f>
        <v>0</v>
      </c>
      <c r="BC29" s="666"/>
      <c r="BD29" s="853">
        <f t="shared" si="3"/>
        <v>0</v>
      </c>
      <c r="BE29" s="308">
        <f t="shared" si="4"/>
        <v>0</v>
      </c>
      <c r="BF29" s="853">
        <f t="shared" si="5"/>
        <v>0</v>
      </c>
      <c r="BG29" s="777">
        <f t="shared" si="6"/>
        <v>0</v>
      </c>
      <c r="BH29" s="308">
        <f t="shared" si="7"/>
        <v>0</v>
      </c>
      <c r="BI29" s="785"/>
      <c r="BJ29" s="853">
        <f t="shared" si="14"/>
        <v>0</v>
      </c>
      <c r="BK29" s="853">
        <f t="shared" si="15"/>
        <v>0</v>
      </c>
      <c r="BL29" s="853">
        <f t="shared" si="16"/>
        <v>0</v>
      </c>
      <c r="BM29" s="853">
        <f t="shared" si="17"/>
        <v>0</v>
      </c>
      <c r="BN29" s="853">
        <f t="shared" si="18"/>
        <v>0</v>
      </c>
      <c r="BO29" s="16"/>
      <c r="BP29" s="16"/>
      <c r="BQ29" s="984">
        <f t="shared" si="19"/>
        <v>22</v>
      </c>
      <c r="BR29" s="985">
        <f t="shared" si="20"/>
        <v>0</v>
      </c>
      <c r="BS29" s="919"/>
      <c r="BT29" s="974"/>
      <c r="BU29" s="918"/>
      <c r="BV29" s="918"/>
      <c r="BW29" s="918"/>
      <c r="BX29" s="774">
        <f t="shared" si="21"/>
        <v>0</v>
      </c>
      <c r="BY29" s="919"/>
      <c r="BZ29" s="974"/>
      <c r="CA29" s="918"/>
      <c r="CB29" s="918"/>
      <c r="CC29" s="918"/>
      <c r="CD29" s="774">
        <f t="shared" si="22"/>
        <v>0</v>
      </c>
      <c r="CE29" s="919"/>
      <c r="CF29" s="974"/>
      <c r="CG29" s="918"/>
      <c r="CH29" s="918"/>
      <c r="CI29" s="918"/>
      <c r="CJ29" s="774">
        <f t="shared" si="23"/>
        <v>0</v>
      </c>
      <c r="CK29" s="915"/>
    </row>
    <row r="30" spans="1:92" ht="23.25" customHeight="1" x14ac:dyDescent="0.25">
      <c r="A30" s="342">
        <v>23</v>
      </c>
      <c r="B30" s="1222">
        <v>0</v>
      </c>
      <c r="C30" s="451"/>
      <c r="D30" s="418">
        <f t="shared" si="9"/>
        <v>100</v>
      </c>
      <c r="E30" s="918">
        <v>0</v>
      </c>
      <c r="F30" s="1234">
        <v>0</v>
      </c>
      <c r="G30" s="1065">
        <v>0</v>
      </c>
      <c r="H30" s="1225">
        <v>0</v>
      </c>
      <c r="I30" s="421">
        <f t="shared" si="10"/>
        <v>0</v>
      </c>
      <c r="J30" s="492" t="s">
        <v>90</v>
      </c>
      <c r="K30" s="423">
        <f t="shared" si="0"/>
        <v>0</v>
      </c>
      <c r="L30" s="494" t="s">
        <v>240</v>
      </c>
      <c r="M30" s="425">
        <f t="shared" si="1"/>
        <v>10</v>
      </c>
      <c r="N30" s="1229"/>
      <c r="O30" s="585">
        <f t="shared" si="11"/>
        <v>0</v>
      </c>
      <c r="P30" s="583">
        <f t="shared" si="2"/>
        <v>0</v>
      </c>
      <c r="Q30" s="499">
        <f t="shared" si="12"/>
        <v>0</v>
      </c>
      <c r="R30" s="409">
        <f t="shared" si="13"/>
        <v>0</v>
      </c>
      <c r="S30" s="16"/>
      <c r="T30" s="958">
        <f t="shared" si="24"/>
        <v>23</v>
      </c>
      <c r="U30" s="899"/>
      <c r="V30" s="887" t="s">
        <v>805</v>
      </c>
      <c r="W30" s="978">
        <v>0</v>
      </c>
      <c r="X30" s="687">
        <f>VLOOKUP(V30,Düngemittel!$B$6:$E$64,2,FALSE)*(VLOOKUP(V30,Düngemittel!$B$6:$E$64,3,FALSE))/100*W30</f>
        <v>0</v>
      </c>
      <c r="Y30" s="687">
        <f>VLOOKUP(V30,Düngemittel!$B$6:$E$64,2,FALSE)*W30</f>
        <v>0</v>
      </c>
      <c r="Z30" s="687">
        <f>VLOOKUP(V30,Düngemittel!$B$6:$E$64,4,FALSE)*W30</f>
        <v>0</v>
      </c>
      <c r="AA30" s="666"/>
      <c r="AB30" s="899"/>
      <c r="AC30" s="887" t="s">
        <v>805</v>
      </c>
      <c r="AD30" s="978">
        <v>0</v>
      </c>
      <c r="AE30" s="687">
        <f>VLOOKUP(AC30,Düngemittel!$B$6:$E$64,2,FALSE)*(VLOOKUP(AC30,Düngemittel!$B$6:$E$64,3,FALSE))/100*AD30</f>
        <v>0</v>
      </c>
      <c r="AF30" s="687">
        <f>VLOOKUP(AC30,Düngemittel!$B$6:$E$64,2,FALSE)*AD30</f>
        <v>0</v>
      </c>
      <c r="AG30" s="687">
        <f>VLOOKUP(AC30,Düngemittel!$B$6:$E$64,4,FALSE)*AD30</f>
        <v>0</v>
      </c>
      <c r="AH30" s="666"/>
      <c r="AI30" s="899"/>
      <c r="AJ30" s="887" t="s">
        <v>805</v>
      </c>
      <c r="AK30" s="978">
        <v>0</v>
      </c>
      <c r="AL30" s="687">
        <f>VLOOKUP(AJ30,Düngemittel!$B$6:$E$64,2,FALSE)*(VLOOKUP(AJ30,Düngemittel!$B$6:$E$64,3,FALSE))/100*AK30</f>
        <v>0</v>
      </c>
      <c r="AM30" s="687">
        <f>VLOOKUP(AJ30,Düngemittel!$B$6:$E$64,2,FALSE)*AK30</f>
        <v>0</v>
      </c>
      <c r="AN30" s="687">
        <f>VLOOKUP(AJ30,Düngemittel!$B$6:$E$64,4,FALSE)*AK30</f>
        <v>0</v>
      </c>
      <c r="AO30" s="666"/>
      <c r="AP30" s="899"/>
      <c r="AQ30" s="887" t="s">
        <v>805</v>
      </c>
      <c r="AR30" s="978">
        <v>0</v>
      </c>
      <c r="AS30" s="687">
        <f>VLOOKUP(AQ30,Düngemittel!$B$6:$E$64,2,FALSE)*(VLOOKUP(AQ30,Düngemittel!$B$6:$E$64,3,FALSE))/100*AR30</f>
        <v>0</v>
      </c>
      <c r="AT30" s="687">
        <f>VLOOKUP(AQ30,Düngemittel!$B$6:$E$64,2,FALSE)*AR30</f>
        <v>0</v>
      </c>
      <c r="AU30" s="687">
        <f>VLOOKUP(AQ30,Düngemittel!$B$6:$E$64,4,FALSE)*AR30</f>
        <v>0</v>
      </c>
      <c r="AV30" s="666"/>
      <c r="AW30" s="899"/>
      <c r="AX30" s="887" t="s">
        <v>805</v>
      </c>
      <c r="AY30" s="978">
        <v>0</v>
      </c>
      <c r="AZ30" s="687">
        <f>VLOOKUP(AX30,Düngemittel!$B$6:$E$64,2,FALSE)*(VLOOKUP(AX30,Düngemittel!$B$6:$E$64,3,FALSE))/100*AY30</f>
        <v>0</v>
      </c>
      <c r="BA30" s="687">
        <f>VLOOKUP(AX30,Düngemittel!$B$6:$E$64,2,FALSE)*AY30</f>
        <v>0</v>
      </c>
      <c r="BB30" s="774">
        <f>VLOOKUP(AX30,Düngemittel!$B$6:$E$64,4,FALSE)*AY30</f>
        <v>0</v>
      </c>
      <c r="BC30" s="666"/>
      <c r="BD30" s="853">
        <f t="shared" si="3"/>
        <v>0</v>
      </c>
      <c r="BE30" s="308">
        <f t="shared" si="4"/>
        <v>0</v>
      </c>
      <c r="BF30" s="853">
        <f t="shared" si="5"/>
        <v>0</v>
      </c>
      <c r="BG30" s="777">
        <f t="shared" si="6"/>
        <v>0</v>
      </c>
      <c r="BH30" s="308">
        <f t="shared" si="7"/>
        <v>0</v>
      </c>
      <c r="BI30" s="785"/>
      <c r="BJ30" s="853">
        <f t="shared" si="14"/>
        <v>0</v>
      </c>
      <c r="BK30" s="853">
        <f t="shared" si="15"/>
        <v>0</v>
      </c>
      <c r="BL30" s="853">
        <f t="shared" si="16"/>
        <v>0</v>
      </c>
      <c r="BM30" s="853">
        <f t="shared" si="17"/>
        <v>0</v>
      </c>
      <c r="BN30" s="853">
        <f t="shared" si="18"/>
        <v>0</v>
      </c>
      <c r="BO30" s="16"/>
      <c r="BP30" s="16"/>
      <c r="BQ30" s="984">
        <f t="shared" si="19"/>
        <v>23</v>
      </c>
      <c r="BR30" s="985">
        <f t="shared" si="20"/>
        <v>0</v>
      </c>
      <c r="BS30" s="919"/>
      <c r="BT30" s="974"/>
      <c r="BU30" s="918"/>
      <c r="BV30" s="918"/>
      <c r="BW30" s="918"/>
      <c r="BX30" s="774">
        <f t="shared" si="21"/>
        <v>0</v>
      </c>
      <c r="BY30" s="919"/>
      <c r="BZ30" s="974"/>
      <c r="CA30" s="918"/>
      <c r="CB30" s="918"/>
      <c r="CC30" s="918"/>
      <c r="CD30" s="774">
        <f t="shared" si="22"/>
        <v>0</v>
      </c>
      <c r="CE30" s="919"/>
      <c r="CF30" s="974"/>
      <c r="CG30" s="918"/>
      <c r="CH30" s="918"/>
      <c r="CI30" s="918"/>
      <c r="CJ30" s="774">
        <f t="shared" si="23"/>
        <v>0</v>
      </c>
      <c r="CK30" s="915"/>
    </row>
    <row r="31" spans="1:92" ht="23.25" customHeight="1" thickBot="1" x14ac:dyDescent="0.3">
      <c r="A31" s="342">
        <v>24</v>
      </c>
      <c r="B31" s="1222">
        <v>0</v>
      </c>
      <c r="C31" s="451"/>
      <c r="D31" s="418">
        <f t="shared" si="9"/>
        <v>100</v>
      </c>
      <c r="E31" s="918">
        <v>0</v>
      </c>
      <c r="F31" s="1234">
        <v>0</v>
      </c>
      <c r="G31" s="1065">
        <v>0</v>
      </c>
      <c r="H31" s="1225">
        <v>0</v>
      </c>
      <c r="I31" s="421">
        <f t="shared" si="10"/>
        <v>0</v>
      </c>
      <c r="J31" s="492" t="s">
        <v>90</v>
      </c>
      <c r="K31" s="423">
        <f t="shared" si="0"/>
        <v>0</v>
      </c>
      <c r="L31" s="494" t="s">
        <v>240</v>
      </c>
      <c r="M31" s="425">
        <f t="shared" si="1"/>
        <v>10</v>
      </c>
      <c r="N31" s="1229"/>
      <c r="O31" s="585">
        <f t="shared" si="11"/>
        <v>0</v>
      </c>
      <c r="P31" s="583">
        <f t="shared" si="2"/>
        <v>0</v>
      </c>
      <c r="Q31" s="499">
        <f t="shared" si="12"/>
        <v>0</v>
      </c>
      <c r="R31" s="409">
        <f t="shared" si="13"/>
        <v>0</v>
      </c>
      <c r="S31" s="16"/>
      <c r="T31" s="959">
        <f t="shared" si="24"/>
        <v>24</v>
      </c>
      <c r="U31" s="960"/>
      <c r="V31" s="961" t="s">
        <v>805</v>
      </c>
      <c r="W31" s="1231">
        <v>0</v>
      </c>
      <c r="X31" s="962">
        <f>VLOOKUP(V31,Düngemittel!$B$6:$E$64,2,FALSE)*(VLOOKUP(V31,Düngemittel!$B$6:$E$64,3,FALSE))/100*W31</f>
        <v>0</v>
      </c>
      <c r="Y31" s="962">
        <f>VLOOKUP(V31,Düngemittel!$B$6:$E$64,2,FALSE)*W31</f>
        <v>0</v>
      </c>
      <c r="Z31" s="962">
        <f>VLOOKUP(V31,Düngemittel!$B$6:$E$64,4,FALSE)*W31</f>
        <v>0</v>
      </c>
      <c r="AA31" s="963"/>
      <c r="AB31" s="960"/>
      <c r="AC31" s="961" t="s">
        <v>805</v>
      </c>
      <c r="AD31" s="1231">
        <v>0</v>
      </c>
      <c r="AE31" s="962">
        <f>VLOOKUP(AC31,Düngemittel!$B$6:$E$64,2,FALSE)*(VLOOKUP(AC31,Düngemittel!$B$6:$E$64,3,FALSE))/100*AD31</f>
        <v>0</v>
      </c>
      <c r="AF31" s="962">
        <f>VLOOKUP(AC31,Düngemittel!$B$6:$E$64,2,FALSE)*AD31</f>
        <v>0</v>
      </c>
      <c r="AG31" s="962">
        <f>VLOOKUP(AC31,Düngemittel!$B$6:$E$64,4,FALSE)*AD31</f>
        <v>0</v>
      </c>
      <c r="AH31" s="963"/>
      <c r="AI31" s="960"/>
      <c r="AJ31" s="961" t="s">
        <v>805</v>
      </c>
      <c r="AK31" s="1231">
        <v>0</v>
      </c>
      <c r="AL31" s="962">
        <f>VLOOKUP(AJ31,Düngemittel!$B$6:$E$64,2,FALSE)*(VLOOKUP(AJ31,Düngemittel!$B$6:$E$64,3,FALSE))/100*AK31</f>
        <v>0</v>
      </c>
      <c r="AM31" s="962">
        <f>VLOOKUP(AJ31,Düngemittel!$B$6:$E$64,2,FALSE)*AK31</f>
        <v>0</v>
      </c>
      <c r="AN31" s="962">
        <f>VLOOKUP(AJ31,Düngemittel!$B$6:$E$64,4,FALSE)*AK31</f>
        <v>0</v>
      </c>
      <c r="AO31" s="963"/>
      <c r="AP31" s="960"/>
      <c r="AQ31" s="961" t="s">
        <v>805</v>
      </c>
      <c r="AR31" s="1231">
        <v>0</v>
      </c>
      <c r="AS31" s="962">
        <f>VLOOKUP(AQ31,Düngemittel!$B$6:$E$64,2,FALSE)*(VLOOKUP(AQ31,Düngemittel!$B$6:$E$64,3,FALSE))/100*AR31</f>
        <v>0</v>
      </c>
      <c r="AT31" s="962">
        <f>VLOOKUP(AQ31,Düngemittel!$B$6:$E$64,2,FALSE)*AR31</f>
        <v>0</v>
      </c>
      <c r="AU31" s="962">
        <f>VLOOKUP(AQ31,Düngemittel!$B$6:$E$64,4,FALSE)*AR31</f>
        <v>0</v>
      </c>
      <c r="AV31" s="963"/>
      <c r="AW31" s="960"/>
      <c r="AX31" s="961" t="s">
        <v>805</v>
      </c>
      <c r="AY31" s="1231">
        <v>0</v>
      </c>
      <c r="AZ31" s="962">
        <f>VLOOKUP(AX31,Düngemittel!$B$6:$E$64,2,FALSE)*(VLOOKUP(AX31,Düngemittel!$B$6:$E$64,3,FALSE))/100*AY31</f>
        <v>0</v>
      </c>
      <c r="BA31" s="962">
        <f>VLOOKUP(AX31,Düngemittel!$B$6:$E$64,2,FALSE)*AY31</f>
        <v>0</v>
      </c>
      <c r="BB31" s="922">
        <f>VLOOKUP(AX31,Düngemittel!$B$6:$E$64,4,FALSE)*AY31</f>
        <v>0</v>
      </c>
      <c r="BC31" s="666"/>
      <c r="BD31" s="853">
        <f t="shared" si="3"/>
        <v>0</v>
      </c>
      <c r="BE31" s="308">
        <f t="shared" si="4"/>
        <v>0</v>
      </c>
      <c r="BF31" s="853">
        <f t="shared" si="5"/>
        <v>0</v>
      </c>
      <c r="BG31" s="777">
        <f t="shared" si="6"/>
        <v>0</v>
      </c>
      <c r="BH31" s="308">
        <f t="shared" si="7"/>
        <v>0</v>
      </c>
      <c r="BI31" s="785"/>
      <c r="BJ31" s="853">
        <f t="shared" si="14"/>
        <v>0</v>
      </c>
      <c r="BK31" s="853">
        <f t="shared" si="15"/>
        <v>0</v>
      </c>
      <c r="BL31" s="853">
        <f t="shared" si="16"/>
        <v>0</v>
      </c>
      <c r="BM31" s="853">
        <f t="shared" si="17"/>
        <v>0</v>
      </c>
      <c r="BN31" s="853">
        <f t="shared" si="18"/>
        <v>0</v>
      </c>
      <c r="BO31" s="16"/>
      <c r="BP31" s="16"/>
      <c r="BQ31" s="984">
        <f t="shared" si="19"/>
        <v>24</v>
      </c>
      <c r="BR31" s="985">
        <f t="shared" si="20"/>
        <v>0</v>
      </c>
      <c r="BS31" s="920"/>
      <c r="BT31" s="975"/>
      <c r="BU31" s="921"/>
      <c r="BV31" s="921"/>
      <c r="BW31" s="921"/>
      <c r="BX31" s="922">
        <f t="shared" si="21"/>
        <v>0</v>
      </c>
      <c r="BY31" s="920"/>
      <c r="BZ31" s="975"/>
      <c r="CA31" s="921"/>
      <c r="CB31" s="921"/>
      <c r="CC31" s="921"/>
      <c r="CD31" s="922">
        <f t="shared" si="22"/>
        <v>0</v>
      </c>
      <c r="CE31" s="920"/>
      <c r="CF31" s="975"/>
      <c r="CG31" s="921"/>
      <c r="CH31" s="921"/>
      <c r="CI31" s="921"/>
      <c r="CJ31" s="922">
        <f t="shared" si="23"/>
        <v>0</v>
      </c>
      <c r="CK31" s="917"/>
    </row>
    <row r="32" spans="1:92" ht="25.5" customHeight="1" thickBot="1" x14ac:dyDescent="0.3">
      <c r="A32" s="384" t="s">
        <v>292</v>
      </c>
      <c r="B32" s="771">
        <f>SUM(B8:B31)</f>
        <v>35</v>
      </c>
      <c r="C32" s="809" t="s">
        <v>1120</v>
      </c>
      <c r="D32" s="810"/>
      <c r="E32" s="811"/>
      <c r="F32" s="811"/>
      <c r="G32" s="812"/>
      <c r="H32" s="813"/>
      <c r="I32" s="813"/>
      <c r="J32" s="813"/>
      <c r="K32" s="813"/>
      <c r="L32" s="813"/>
      <c r="M32" s="375"/>
      <c r="N32" s="375"/>
      <c r="O32" s="814" t="s">
        <v>1036</v>
      </c>
      <c r="P32" s="380">
        <f>SUM(P8:P31)</f>
        <v>5200.24</v>
      </c>
      <c r="Q32" s="496"/>
      <c r="R32" s="380">
        <f>SUM(R8:R31)</f>
        <v>2487.2320351999997</v>
      </c>
      <c r="S32" s="476"/>
      <c r="T32" s="476"/>
      <c r="U32" s="476"/>
      <c r="V32" s="476"/>
      <c r="W32" s="476"/>
      <c r="X32" s="476"/>
      <c r="Y32" s="476"/>
      <c r="Z32" s="476"/>
      <c r="AA32" s="476"/>
      <c r="AB32" s="476"/>
      <c r="AC32" s="476"/>
      <c r="AD32" s="476"/>
      <c r="AE32" s="476"/>
      <c r="AF32" s="476"/>
      <c r="BD32" s="124"/>
      <c r="BE32" s="60"/>
      <c r="BF32" s="60"/>
      <c r="BG32" s="224"/>
      <c r="BH32" s="60"/>
      <c r="BI32" s="272"/>
      <c r="BJ32" s="308">
        <f>SUM(BJ8:BJ31)</f>
        <v>1638</v>
      </c>
      <c r="BK32" s="308">
        <f t="shared" ref="BK32:BN32" si="25">SUM(BK8:BK31)</f>
        <v>4122</v>
      </c>
      <c r="BL32" s="308">
        <f t="shared" si="25"/>
        <v>5778</v>
      </c>
      <c r="BM32" s="308">
        <f t="shared" si="25"/>
        <v>4140</v>
      </c>
      <c r="BN32" s="308">
        <f t="shared" si="25"/>
        <v>1725</v>
      </c>
      <c r="BO32" s="782" t="s">
        <v>1097</v>
      </c>
      <c r="BP32" s="83"/>
      <c r="BQ32" s="83"/>
      <c r="BR32" s="83"/>
      <c r="BS32" s="83"/>
      <c r="BT32" s="83"/>
      <c r="BU32" s="83"/>
      <c r="BV32" s="83"/>
      <c r="BW32" s="83"/>
      <c r="BX32" s="83"/>
      <c r="BY32" s="83"/>
      <c r="BZ32" s="83"/>
      <c r="CA32" s="83"/>
      <c r="CB32" s="83"/>
      <c r="CC32" s="83"/>
      <c r="CD32" s="83"/>
      <c r="CE32" s="129"/>
      <c r="CF32" s="129"/>
      <c r="CG32" s="129"/>
      <c r="CH32" s="129"/>
      <c r="CI32" s="129"/>
      <c r="CK32" s="125"/>
    </row>
    <row r="33" spans="1:89" ht="16.5" customHeight="1" x14ac:dyDescent="0.25">
      <c r="A33" s="271"/>
      <c r="B33" s="657"/>
      <c r="C33" s="400"/>
      <c r="D33" s="806"/>
      <c r="E33" s="806"/>
      <c r="F33" s="806"/>
      <c r="G33" s="659"/>
      <c r="H33" s="659"/>
      <c r="I33" s="659"/>
      <c r="J33" s="659"/>
      <c r="K33" s="659"/>
      <c r="L33" s="659"/>
      <c r="O33" s="183"/>
      <c r="P33" s="1310" t="s">
        <v>1118</v>
      </c>
      <c r="R33" s="1310" t="s">
        <v>1119</v>
      </c>
      <c r="S33" s="476"/>
      <c r="T33" s="476"/>
      <c r="U33" s="476"/>
      <c r="V33" s="476"/>
      <c r="W33" s="476"/>
      <c r="X33" s="476"/>
      <c r="Y33" s="476"/>
      <c r="Z33" s="476"/>
      <c r="AA33" s="476"/>
      <c r="AB33" s="476"/>
      <c r="AC33" s="476"/>
      <c r="AD33" s="476"/>
      <c r="AE33" s="476"/>
      <c r="AF33" s="476"/>
      <c r="AG33" s="357"/>
      <c r="AH33" s="357"/>
      <c r="AI33" s="357"/>
      <c r="AJ33" s="357"/>
      <c r="AK33" s="357"/>
      <c r="AL33" s="357"/>
      <c r="AM33" s="357"/>
      <c r="AN33" s="357"/>
      <c r="AO33" s="357"/>
      <c r="AP33" s="357"/>
      <c r="AQ33" s="357"/>
      <c r="AR33" s="357"/>
      <c r="AS33" s="357"/>
      <c r="AT33" s="357"/>
      <c r="AU33" s="357"/>
      <c r="AV33" s="357"/>
      <c r="AW33" s="357"/>
      <c r="AX33" s="357"/>
      <c r="AY33" s="357"/>
      <c r="AZ33" s="357"/>
      <c r="BA33" s="357"/>
      <c r="BB33" s="357"/>
      <c r="BD33" s="462">
        <f>BJ33</f>
        <v>46.8</v>
      </c>
      <c r="BE33" s="462">
        <f t="shared" ref="BE33:BH33" si="26">BK33</f>
        <v>117.77142857142857</v>
      </c>
      <c r="BF33" s="462">
        <f t="shared" si="26"/>
        <v>165.08571428571429</v>
      </c>
      <c r="BG33" s="777">
        <f t="shared" si="26"/>
        <v>118.28571428571429</v>
      </c>
      <c r="BH33" s="462">
        <f t="shared" si="26"/>
        <v>49.285714285714285</v>
      </c>
      <c r="BI33" s="272"/>
      <c r="BJ33" s="784">
        <f>BJ32/$B32</f>
        <v>46.8</v>
      </c>
      <c r="BK33" s="308">
        <f>BK32/$B32</f>
        <v>117.77142857142857</v>
      </c>
      <c r="BL33" s="784">
        <f>BL32/$B32</f>
        <v>165.08571428571429</v>
      </c>
      <c r="BM33" s="777">
        <f>BM32/$B32</f>
        <v>118.28571428571429</v>
      </c>
      <c r="BN33" s="308">
        <f>BN32/$B32</f>
        <v>49.285714285714285</v>
      </c>
      <c r="BO33" s="782" t="s">
        <v>1076</v>
      </c>
      <c r="BP33" s="83"/>
      <c r="BQ33" s="83"/>
      <c r="BR33" s="83"/>
      <c r="BS33" s="83"/>
      <c r="BT33" s="83"/>
      <c r="BU33" s="83"/>
      <c r="BV33" s="83"/>
      <c r="BW33" s="83"/>
      <c r="BX33" s="83"/>
      <c r="BY33" s="83"/>
      <c r="BZ33" s="83"/>
      <c r="CA33" s="83"/>
      <c r="CB33" s="83"/>
      <c r="CC33" s="83"/>
      <c r="CD33" s="83"/>
      <c r="CE33" s="129"/>
      <c r="CF33" s="129"/>
      <c r="CG33" s="129"/>
      <c r="CH33" s="129"/>
      <c r="CI33" s="129"/>
      <c r="CK33" s="130"/>
    </row>
    <row r="34" spans="1:89" ht="60" customHeight="1" thickBot="1" x14ac:dyDescent="0.3">
      <c r="A34" s="519"/>
      <c r="B34" s="400"/>
      <c r="C34" s="400"/>
      <c r="D34" s="806"/>
      <c r="E34" s="806"/>
      <c r="F34" s="806"/>
      <c r="G34" s="659"/>
      <c r="H34" s="659"/>
      <c r="I34" s="659"/>
      <c r="J34" s="659"/>
      <c r="K34" s="659"/>
      <c r="L34" s="659"/>
      <c r="O34" s="272"/>
      <c r="P34" s="1311"/>
      <c r="R34" s="1311"/>
      <c r="S34" s="726"/>
      <c r="T34" s="726"/>
      <c r="U34" s="726"/>
      <c r="V34" s="726"/>
      <c r="W34" s="726"/>
      <c r="X34" s="726"/>
      <c r="Y34" s="726"/>
      <c r="Z34" s="726"/>
      <c r="AA34" s="726"/>
      <c r="AB34" s="726"/>
      <c r="AC34" s="726"/>
      <c r="AD34" s="726"/>
      <c r="AE34" s="726"/>
      <c r="AF34" s="726"/>
      <c r="AG34" s="357"/>
      <c r="AH34" s="357"/>
      <c r="AI34" s="357"/>
      <c r="AJ34" s="357"/>
      <c r="AK34" s="357"/>
      <c r="AL34" s="357"/>
      <c r="AM34" s="357"/>
      <c r="AN34" s="357"/>
      <c r="AO34" s="357"/>
      <c r="AP34" s="357"/>
      <c r="AQ34" s="357"/>
      <c r="AR34" s="357"/>
      <c r="AS34" s="357"/>
      <c r="AT34" s="357"/>
      <c r="AU34" s="357"/>
      <c r="AV34" s="357"/>
      <c r="AW34" s="357"/>
      <c r="AX34" s="357"/>
      <c r="AY34" s="357"/>
      <c r="AZ34" s="357"/>
      <c r="BA34" s="357"/>
      <c r="BB34" s="357"/>
      <c r="BC34" s="357"/>
      <c r="BD34" s="775" t="s">
        <v>1096</v>
      </c>
      <c r="BE34" s="312" t="s">
        <v>1082</v>
      </c>
      <c r="BF34" s="312" t="s">
        <v>1083</v>
      </c>
      <c r="BG34" s="699" t="s">
        <v>1268</v>
      </c>
      <c r="BH34" s="312" t="s">
        <v>290</v>
      </c>
      <c r="BI34" s="519"/>
      <c r="BJ34" s="780" t="s">
        <v>1096</v>
      </c>
      <c r="BK34" s="312" t="s">
        <v>1082</v>
      </c>
      <c r="BL34" s="781" t="s">
        <v>1098</v>
      </c>
      <c r="BM34" s="699" t="s">
        <v>1268</v>
      </c>
      <c r="BN34" s="312" t="s">
        <v>290</v>
      </c>
      <c r="BO34" s="357"/>
      <c r="BP34" s="357"/>
      <c r="BQ34" s="357"/>
      <c r="BR34" s="357"/>
      <c r="BS34" s="357"/>
      <c r="BT34" s="357"/>
      <c r="BU34" s="357"/>
      <c r="BV34" s="357"/>
      <c r="BW34" s="357"/>
      <c r="BX34" s="357"/>
      <c r="BY34" s="357"/>
      <c r="BZ34" s="357"/>
      <c r="CA34" s="357"/>
      <c r="CB34" s="357"/>
      <c r="CC34" s="357"/>
      <c r="CD34" s="357"/>
      <c r="CE34" s="129"/>
      <c r="CF34" s="129"/>
      <c r="CG34" s="129"/>
      <c r="CH34" s="129"/>
      <c r="CI34" s="129"/>
      <c r="CK34" s="130"/>
    </row>
    <row r="35" spans="1:89" ht="16.5" customHeight="1" x14ac:dyDescent="0.25">
      <c r="B35" s="112"/>
      <c r="D35" s="80"/>
      <c r="E35" s="112"/>
      <c r="J35" s="151"/>
      <c r="CE35" s="129"/>
      <c r="CF35" s="129"/>
      <c r="CG35" s="129"/>
      <c r="CH35" s="129"/>
      <c r="CI35" s="129"/>
      <c r="CK35" s="125"/>
    </row>
    <row r="36" spans="1:89" ht="38.25" customHeight="1" x14ac:dyDescent="0.25">
      <c r="A36" s="1384" t="s">
        <v>1084</v>
      </c>
      <c r="B36" s="1385"/>
      <c r="C36" s="1387" t="s">
        <v>1088</v>
      </c>
      <c r="D36" s="1388"/>
      <c r="E36" s="1388"/>
      <c r="F36" s="1388"/>
      <c r="G36" s="1388"/>
      <c r="H36" s="1388"/>
      <c r="I36" s="1388"/>
      <c r="J36" s="1388"/>
      <c r="K36" s="1388"/>
      <c r="L36" s="1388"/>
      <c r="M36" s="1379"/>
      <c r="N36" s="1379"/>
      <c r="O36" s="1379"/>
      <c r="P36" s="1379"/>
      <c r="Q36" s="1331"/>
      <c r="R36" s="1332"/>
      <c r="S36" s="124"/>
      <c r="T36" s="124"/>
      <c r="U36" s="124"/>
      <c r="V36" s="124"/>
      <c r="W36" s="124"/>
      <c r="X36" s="124"/>
      <c r="Y36" s="124"/>
      <c r="Z36" s="124"/>
      <c r="AA36" s="124"/>
      <c r="AB36" s="124"/>
      <c r="AC36" s="124"/>
      <c r="AD36" s="124"/>
      <c r="AE36" s="124"/>
      <c r="AF36" s="124"/>
      <c r="CE36" s="129"/>
      <c r="CF36" s="129"/>
      <c r="CG36" s="129"/>
      <c r="CH36" s="129"/>
      <c r="CI36" s="129"/>
      <c r="CK36" s="125"/>
    </row>
    <row r="37" spans="1:89" ht="28.5" customHeight="1" x14ac:dyDescent="0.25">
      <c r="A37" s="1385"/>
      <c r="B37" s="1385"/>
      <c r="C37" s="1389"/>
      <c r="D37" s="1390"/>
      <c r="E37" s="1390"/>
      <c r="F37" s="1390"/>
      <c r="G37" s="1390"/>
      <c r="H37" s="1390"/>
      <c r="I37" s="1390"/>
      <c r="J37" s="1390"/>
      <c r="K37" s="1390"/>
      <c r="L37" s="1390"/>
      <c r="M37" s="1293"/>
      <c r="N37" s="1293"/>
      <c r="O37" s="1293"/>
      <c r="P37" s="1293"/>
      <c r="Q37" s="1336"/>
      <c r="R37" s="1337"/>
      <c r="S37" s="124"/>
      <c r="T37" s="124"/>
      <c r="U37" s="124"/>
      <c r="V37" s="124"/>
      <c r="W37" s="124"/>
      <c r="X37" s="124"/>
      <c r="Y37" s="124"/>
      <c r="Z37" s="124"/>
      <c r="AA37" s="124"/>
      <c r="AB37" s="124"/>
      <c r="AC37" s="124"/>
      <c r="AD37" s="124"/>
      <c r="AE37" s="124"/>
      <c r="AF37" s="124"/>
      <c r="CE37" s="129"/>
      <c r="CF37" s="129"/>
      <c r="CG37" s="129"/>
      <c r="CH37" s="129"/>
      <c r="CI37" s="129"/>
      <c r="CK37" s="125"/>
    </row>
    <row r="38" spans="1:89" ht="24.75" customHeight="1" x14ac:dyDescent="0.25">
      <c r="A38" s="1386"/>
      <c r="B38" s="1386"/>
      <c r="C38" s="1391"/>
      <c r="D38" s="1341"/>
      <c r="E38" s="1341"/>
      <c r="F38" s="1341"/>
      <c r="G38" s="1341"/>
      <c r="H38" s="1341"/>
      <c r="I38" s="1341"/>
      <c r="J38" s="1341"/>
      <c r="K38" s="1341"/>
      <c r="L38" s="1341"/>
      <c r="M38" s="1341"/>
      <c r="N38" s="1341"/>
      <c r="O38" s="1341"/>
      <c r="P38" s="1341"/>
      <c r="Q38" s="1341"/>
      <c r="R38" s="1342"/>
      <c r="S38" s="124"/>
      <c r="T38" s="124"/>
      <c r="U38" s="124"/>
      <c r="V38" s="124"/>
      <c r="W38" s="124"/>
      <c r="X38" s="124"/>
      <c r="Y38" s="124"/>
      <c r="Z38" s="124"/>
      <c r="AA38" s="124"/>
      <c r="AB38" s="124"/>
      <c r="AC38" s="124"/>
      <c r="AD38" s="124"/>
      <c r="AE38" s="124"/>
      <c r="AF38" s="124"/>
      <c r="CE38" s="129"/>
      <c r="CF38" s="129"/>
      <c r="CG38" s="129"/>
      <c r="CH38" s="129"/>
      <c r="CI38" s="129"/>
      <c r="CK38" s="125"/>
    </row>
    <row r="39" spans="1:89" ht="24.75" customHeight="1" x14ac:dyDescent="0.25">
      <c r="B39" s="112"/>
      <c r="D39" s="80"/>
      <c r="E39" s="112"/>
      <c r="J39" s="151"/>
      <c r="S39" s="124"/>
      <c r="T39" s="124"/>
      <c r="U39" s="124"/>
      <c r="V39" s="124"/>
      <c r="W39" s="124"/>
      <c r="X39" s="124"/>
      <c r="Y39" s="124"/>
      <c r="Z39" s="124"/>
      <c r="AA39" s="124"/>
      <c r="AB39" s="124"/>
      <c r="AC39" s="124"/>
      <c r="AD39" s="124"/>
      <c r="AE39" s="124"/>
      <c r="AF39" s="124"/>
      <c r="CE39" s="129"/>
      <c r="CF39" s="129"/>
      <c r="CG39" s="129"/>
      <c r="CH39" s="129"/>
      <c r="CI39" s="129"/>
    </row>
    <row r="40" spans="1:89" ht="15" customHeight="1" x14ac:dyDescent="0.25">
      <c r="A40" s="1320" t="s">
        <v>617</v>
      </c>
      <c r="B40" s="1321"/>
      <c r="C40" s="1347" t="s">
        <v>1089</v>
      </c>
      <c r="D40" s="1281"/>
      <c r="E40" s="1281"/>
      <c r="F40" s="1281"/>
      <c r="G40" s="1281"/>
      <c r="H40" s="1281"/>
      <c r="I40" s="1281"/>
      <c r="J40" s="1281"/>
      <c r="K40" s="1281"/>
      <c r="L40" s="1281"/>
      <c r="M40" s="1281"/>
      <c r="N40" s="1281"/>
      <c r="O40" s="1281"/>
      <c r="P40" s="1281"/>
      <c r="Q40" s="1348"/>
      <c r="R40" s="1348"/>
      <c r="CE40" s="129"/>
      <c r="CF40" s="129"/>
      <c r="CG40" s="129"/>
      <c r="CH40" s="129"/>
      <c r="CI40" s="129"/>
    </row>
    <row r="41" spans="1:89" ht="15" customHeight="1" x14ac:dyDescent="0.25">
      <c r="A41" s="1322"/>
      <c r="B41" s="1323"/>
      <c r="C41" s="1281"/>
      <c r="D41" s="1281"/>
      <c r="E41" s="1281"/>
      <c r="F41" s="1281"/>
      <c r="G41" s="1281"/>
      <c r="H41" s="1281"/>
      <c r="I41" s="1281"/>
      <c r="J41" s="1281"/>
      <c r="K41" s="1281"/>
      <c r="L41" s="1281"/>
      <c r="M41" s="1281"/>
      <c r="N41" s="1281"/>
      <c r="O41" s="1281"/>
      <c r="P41" s="1281"/>
      <c r="Q41" s="1348"/>
      <c r="R41" s="1348"/>
      <c r="CE41" s="129"/>
      <c r="CF41" s="129"/>
      <c r="CG41" s="129"/>
      <c r="CH41" s="129"/>
      <c r="CI41" s="129"/>
    </row>
    <row r="42" spans="1:89" ht="15" customHeight="1" x14ac:dyDescent="0.25">
      <c r="A42" s="1343"/>
      <c r="B42" s="1344"/>
      <c r="C42" s="1281"/>
      <c r="D42" s="1281"/>
      <c r="E42" s="1281"/>
      <c r="F42" s="1281"/>
      <c r="G42" s="1281"/>
      <c r="H42" s="1281"/>
      <c r="I42" s="1281"/>
      <c r="J42" s="1281"/>
      <c r="K42" s="1281"/>
      <c r="L42" s="1281"/>
      <c r="M42" s="1281"/>
      <c r="N42" s="1281"/>
      <c r="O42" s="1281"/>
      <c r="P42" s="1281"/>
      <c r="Q42" s="1348"/>
      <c r="R42" s="1348"/>
      <c r="CE42" s="129"/>
      <c r="CF42" s="129"/>
      <c r="CG42" s="129"/>
      <c r="CH42" s="129"/>
      <c r="CI42" s="129"/>
    </row>
    <row r="43" spans="1:89" ht="24" customHeight="1" x14ac:dyDescent="0.25">
      <c r="A43" s="1345"/>
      <c r="B43" s="1346"/>
      <c r="C43" s="1347" t="s">
        <v>594</v>
      </c>
      <c r="D43" s="1281"/>
      <c r="E43" s="1281"/>
      <c r="F43" s="1281"/>
      <c r="G43" s="1281"/>
      <c r="H43" s="1281"/>
      <c r="I43" s="1281"/>
      <c r="J43" s="1281"/>
      <c r="K43" s="1281"/>
      <c r="L43" s="1281"/>
      <c r="M43" s="1281"/>
      <c r="N43" s="1281"/>
      <c r="O43" s="1348"/>
      <c r="P43" s="1348"/>
      <c r="Q43" s="1348"/>
      <c r="R43" s="1348"/>
      <c r="CE43" s="129"/>
      <c r="CF43" s="129"/>
      <c r="CG43" s="129"/>
      <c r="CH43" s="129"/>
      <c r="CI43" s="129"/>
    </row>
    <row r="44" spans="1:89" ht="15.75" x14ac:dyDescent="0.25">
      <c r="AG44" s="400"/>
      <c r="AH44" s="400"/>
      <c r="AI44" s="400"/>
      <c r="AJ44" s="400"/>
      <c r="AK44" s="400"/>
      <c r="AL44" s="400"/>
      <c r="AM44" s="400"/>
      <c r="AN44" s="400"/>
      <c r="AO44" s="400"/>
      <c r="AP44" s="400"/>
      <c r="AQ44" s="400"/>
      <c r="AR44" s="400"/>
      <c r="AS44" s="400"/>
      <c r="AT44" s="400"/>
      <c r="AU44" s="400"/>
      <c r="AV44" s="400"/>
      <c r="AW44" s="400"/>
      <c r="AX44" s="400"/>
      <c r="AY44" s="400"/>
      <c r="AZ44" s="400"/>
      <c r="BA44" s="400"/>
      <c r="BB44" s="400"/>
      <c r="BC44" s="400"/>
      <c r="BD44" s="400"/>
      <c r="BE44" s="400"/>
      <c r="BF44" s="400"/>
      <c r="BG44" s="400"/>
      <c r="BH44" s="400"/>
      <c r="BI44" s="400"/>
      <c r="BJ44" s="400"/>
      <c r="BK44" s="400"/>
      <c r="BL44" s="400"/>
      <c r="BM44" s="400"/>
      <c r="BN44" s="400"/>
      <c r="BO44" s="400"/>
      <c r="BP44" s="400"/>
      <c r="BQ44" s="400"/>
      <c r="BR44" s="400"/>
      <c r="BS44" s="400"/>
      <c r="BT44" s="400"/>
      <c r="BU44" s="400"/>
      <c r="BV44" s="400"/>
      <c r="BW44" s="400"/>
      <c r="BX44" s="400"/>
      <c r="BY44" s="400"/>
      <c r="BZ44" s="400"/>
      <c r="CA44" s="400"/>
      <c r="CB44" s="400"/>
      <c r="CC44" s="400"/>
      <c r="CD44" s="400"/>
      <c r="CE44" s="129"/>
      <c r="CF44" s="129"/>
      <c r="CG44" s="129"/>
      <c r="CH44" s="129"/>
      <c r="CI44" s="129"/>
    </row>
    <row r="45" spans="1:89" ht="9.75" customHeight="1" x14ac:dyDescent="0.25">
      <c r="CE45" s="129"/>
      <c r="CF45" s="129"/>
      <c r="CG45" s="129"/>
      <c r="CH45" s="129"/>
      <c r="CI45" s="129"/>
    </row>
    <row r="46" spans="1:89" ht="18.75" x14ac:dyDescent="0.25">
      <c r="U46" s="147"/>
      <c r="V46" s="147"/>
      <c r="CE46" s="129"/>
      <c r="CF46" s="129"/>
      <c r="CG46" s="129"/>
      <c r="CH46" s="129"/>
      <c r="CI46" s="129"/>
    </row>
    <row r="47" spans="1:89" ht="15.75" x14ac:dyDescent="0.25">
      <c r="Q47" s="122"/>
      <c r="U47" s="400"/>
      <c r="V47" s="400"/>
      <c r="W47" s="400"/>
      <c r="X47" s="400"/>
      <c r="Y47" s="400"/>
      <c r="Z47" s="400"/>
      <c r="AA47" s="400"/>
      <c r="AB47" s="400"/>
      <c r="AC47" s="400"/>
      <c r="AD47" s="400"/>
      <c r="AE47" s="400"/>
      <c r="AF47" s="400"/>
      <c r="AG47" s="400"/>
      <c r="AH47" s="400"/>
      <c r="AI47" s="400"/>
      <c r="AJ47" s="400"/>
      <c r="AK47" s="400"/>
      <c r="AL47" s="400"/>
      <c r="AM47" s="400"/>
      <c r="AN47" s="400"/>
      <c r="AO47" s="400"/>
      <c r="AP47" s="400"/>
      <c r="AQ47" s="400"/>
      <c r="AR47" s="400"/>
      <c r="AS47" s="400"/>
      <c r="AT47" s="400"/>
      <c r="AU47" s="400"/>
      <c r="AV47" s="400"/>
      <c r="AW47" s="400"/>
      <c r="AX47" s="400"/>
      <c r="AY47" s="400"/>
      <c r="AZ47" s="400"/>
      <c r="BA47" s="400"/>
      <c r="BB47" s="400"/>
      <c r="BC47" s="400"/>
      <c r="BD47" s="400"/>
      <c r="BE47" s="400"/>
      <c r="BF47" s="400"/>
      <c r="BG47" s="400"/>
      <c r="BH47" s="400"/>
      <c r="BI47" s="400"/>
      <c r="BJ47" s="400"/>
      <c r="BK47" s="400"/>
      <c r="BL47" s="400"/>
      <c r="BM47" s="400"/>
      <c r="BN47" s="400"/>
      <c r="BO47" s="400"/>
      <c r="BP47" s="400"/>
      <c r="BQ47" s="400"/>
      <c r="BR47" s="400"/>
      <c r="BS47" s="400"/>
      <c r="BT47" s="400"/>
      <c r="BU47" s="400"/>
      <c r="BV47" s="400"/>
      <c r="BW47" s="400"/>
      <c r="BX47" s="400"/>
      <c r="BY47" s="400"/>
      <c r="BZ47" s="400"/>
      <c r="CA47" s="400"/>
      <c r="CB47" s="400"/>
      <c r="CC47" s="400"/>
      <c r="CD47" s="400"/>
      <c r="CE47" s="129"/>
      <c r="CF47" s="129"/>
      <c r="CG47" s="129"/>
      <c r="CH47" s="129"/>
      <c r="CI47" s="129"/>
    </row>
    <row r="48" spans="1:89" ht="15.75" x14ac:dyDescent="0.25">
      <c r="Q48" s="122"/>
      <c r="U48" s="400"/>
      <c r="V48" s="400"/>
      <c r="W48" s="400"/>
      <c r="X48" s="400"/>
      <c r="Y48" s="400"/>
      <c r="Z48" s="400"/>
      <c r="AA48" s="400"/>
      <c r="AB48" s="400"/>
      <c r="AC48" s="400"/>
      <c r="AD48" s="400"/>
      <c r="AE48" s="400"/>
      <c r="AF48" s="400"/>
      <c r="AG48" s="400"/>
      <c r="AH48" s="400"/>
      <c r="AI48" s="400"/>
      <c r="AJ48" s="400"/>
      <c r="AK48" s="400"/>
      <c r="AL48" s="400"/>
      <c r="AM48" s="400"/>
      <c r="AN48" s="400"/>
      <c r="AO48" s="400"/>
      <c r="AP48" s="400"/>
      <c r="AQ48" s="400"/>
      <c r="AR48" s="400"/>
      <c r="AS48" s="400"/>
      <c r="AT48" s="400"/>
      <c r="AU48" s="400"/>
      <c r="AV48" s="400"/>
      <c r="AW48" s="400"/>
      <c r="AX48" s="400"/>
      <c r="AY48" s="400"/>
      <c r="AZ48" s="400"/>
      <c r="BA48" s="400"/>
      <c r="BB48" s="400"/>
      <c r="BC48" s="400"/>
      <c r="BD48" s="400"/>
      <c r="BE48" s="400"/>
      <c r="BF48" s="400"/>
      <c r="BG48" s="400"/>
      <c r="BH48" s="400"/>
      <c r="BI48" s="400"/>
      <c r="BJ48" s="400"/>
      <c r="BK48" s="400"/>
      <c r="BL48" s="400"/>
      <c r="BM48" s="400"/>
      <c r="BN48" s="400"/>
      <c r="BO48" s="400"/>
      <c r="BP48" s="400"/>
      <c r="BQ48" s="400"/>
      <c r="BR48" s="400"/>
      <c r="BS48" s="400"/>
      <c r="BT48" s="400"/>
      <c r="BU48" s="400"/>
      <c r="BV48" s="400"/>
      <c r="BW48" s="400"/>
      <c r="BX48" s="400"/>
      <c r="BY48" s="400"/>
      <c r="BZ48" s="400"/>
      <c r="CA48" s="400"/>
      <c r="CB48" s="400"/>
      <c r="CC48" s="400"/>
      <c r="CD48" s="400"/>
      <c r="CE48" s="129"/>
      <c r="CF48" s="129"/>
      <c r="CG48" s="129"/>
      <c r="CH48" s="129"/>
      <c r="CI48" s="129"/>
    </row>
    <row r="49" spans="21:87" ht="15.75" x14ac:dyDescent="0.25">
      <c r="CE49" s="129"/>
      <c r="CF49" s="129"/>
      <c r="CG49" s="129"/>
      <c r="CH49" s="129"/>
      <c r="CI49" s="129"/>
    </row>
    <row r="50" spans="21:87" ht="15.75" x14ac:dyDescent="0.25">
      <c r="U50" s="665"/>
      <c r="V50" s="665"/>
      <c r="W50" s="124"/>
      <c r="X50" s="1382"/>
      <c r="Y50" s="1336"/>
      <c r="Z50" s="240"/>
      <c r="AA50" s="240"/>
      <c r="AB50" s="240"/>
      <c r="AC50" s="240"/>
      <c r="AD50" s="240"/>
      <c r="AE50" s="240"/>
      <c r="AF50" s="240"/>
      <c r="AG50" s="240"/>
      <c r="AH50" s="240"/>
      <c r="AI50" s="240"/>
      <c r="AJ50" s="240"/>
      <c r="AK50" s="240"/>
      <c r="AL50" s="240"/>
      <c r="AM50" s="240"/>
      <c r="AN50" s="240"/>
      <c r="AO50" s="240"/>
      <c r="AP50" s="240"/>
      <c r="AQ50" s="240"/>
      <c r="AR50" s="240"/>
      <c r="AS50" s="240"/>
      <c r="AT50" s="240"/>
      <c r="AU50" s="240"/>
      <c r="AV50" s="240"/>
      <c r="AW50" s="240"/>
      <c r="AX50" s="240"/>
      <c r="AY50" s="240"/>
      <c r="AZ50" s="240"/>
      <c r="BA50" s="240"/>
      <c r="BB50" s="240"/>
      <c r="BC50" s="240"/>
      <c r="BD50" s="240"/>
      <c r="BE50" s="240"/>
      <c r="BF50" s="240"/>
      <c r="BG50" s="240"/>
      <c r="BH50" s="240"/>
      <c r="BI50" s="240"/>
      <c r="BJ50" s="240"/>
      <c r="BK50" s="240"/>
      <c r="BL50" s="240"/>
      <c r="BM50" s="240"/>
      <c r="BN50" s="240"/>
      <c r="BO50" s="240"/>
      <c r="BP50" s="240"/>
      <c r="BQ50" s="240"/>
      <c r="BR50" s="240"/>
      <c r="BS50" s="240"/>
      <c r="BT50" s="240"/>
      <c r="BU50" s="240"/>
      <c r="BV50" s="240"/>
      <c r="BW50" s="240"/>
      <c r="BX50" s="240"/>
      <c r="BY50" s="240"/>
      <c r="BZ50" s="240"/>
      <c r="CA50" s="240"/>
      <c r="CB50" s="240"/>
      <c r="CC50" s="240"/>
      <c r="CD50" s="240"/>
      <c r="CE50" s="129"/>
      <c r="CF50" s="129"/>
      <c r="CG50" s="129"/>
      <c r="CH50" s="129"/>
      <c r="CI50" s="129"/>
    </row>
    <row r="51" spans="21:87" ht="15.75" x14ac:dyDescent="0.25">
      <c r="U51" s="665"/>
      <c r="V51" s="665"/>
      <c r="W51" s="124"/>
      <c r="X51" s="519"/>
      <c r="Y51" s="519"/>
      <c r="Z51" s="701"/>
      <c r="AA51" s="701"/>
      <c r="AB51" s="701"/>
      <c r="AC51" s="701"/>
      <c r="AD51" s="701"/>
      <c r="AE51" s="701"/>
      <c r="AF51" s="701"/>
      <c r="AG51" s="701"/>
      <c r="AH51" s="701"/>
      <c r="AI51" s="701"/>
      <c r="AJ51" s="701"/>
      <c r="AK51" s="701"/>
      <c r="AL51" s="701"/>
      <c r="AM51" s="701"/>
      <c r="AN51" s="701"/>
      <c r="AO51" s="701"/>
      <c r="AP51" s="701"/>
      <c r="AQ51" s="701"/>
      <c r="AR51" s="701"/>
      <c r="AS51" s="701"/>
      <c r="AT51" s="701"/>
      <c r="AU51" s="701"/>
      <c r="AV51" s="701"/>
      <c r="AW51" s="701"/>
      <c r="AX51" s="701"/>
      <c r="AY51" s="701"/>
      <c r="AZ51" s="701"/>
      <c r="BA51" s="701"/>
      <c r="BB51" s="701"/>
      <c r="BC51" s="701"/>
      <c r="BD51" s="701"/>
      <c r="BE51" s="701"/>
      <c r="BF51" s="701"/>
      <c r="BG51" s="701"/>
      <c r="BH51" s="701"/>
      <c r="BI51" s="701"/>
      <c r="BJ51" s="701"/>
      <c r="BK51" s="701"/>
      <c r="BL51" s="701"/>
      <c r="BM51" s="701"/>
      <c r="BN51" s="701"/>
      <c r="BO51" s="701"/>
      <c r="BP51" s="701"/>
      <c r="BQ51" s="701"/>
      <c r="BR51" s="701"/>
      <c r="BS51" s="701"/>
      <c r="BT51" s="701"/>
      <c r="BU51" s="701"/>
      <c r="BV51" s="701"/>
      <c r="BW51" s="701"/>
      <c r="BX51" s="701"/>
      <c r="BY51" s="701"/>
      <c r="BZ51" s="701"/>
      <c r="CA51" s="701"/>
      <c r="CB51" s="701"/>
      <c r="CC51" s="701"/>
      <c r="CD51" s="701"/>
      <c r="CE51" s="129"/>
      <c r="CF51" s="129"/>
      <c r="CG51" s="129"/>
      <c r="CH51" s="129"/>
      <c r="CI51" s="129"/>
    </row>
    <row r="52" spans="21:87" ht="15.75" x14ac:dyDescent="0.25">
      <c r="U52" s="166"/>
      <c r="V52" s="166"/>
      <c r="W52" s="124"/>
      <c r="X52" s="123"/>
      <c r="Y52" s="123"/>
      <c r="Z52" s="129"/>
      <c r="AA52" s="129"/>
      <c r="AB52" s="129"/>
      <c r="AC52" s="129"/>
      <c r="AD52" s="129"/>
      <c r="AE52" s="129"/>
      <c r="AF52" s="129"/>
      <c r="AG52" s="129"/>
      <c r="AH52" s="129"/>
      <c r="AI52" s="129"/>
      <c r="AJ52" s="129"/>
      <c r="AK52" s="129"/>
      <c r="AL52" s="129"/>
      <c r="AM52" s="129"/>
      <c r="AN52" s="129"/>
      <c r="AO52" s="129"/>
      <c r="AP52" s="129"/>
      <c r="AQ52" s="129"/>
      <c r="AR52" s="129"/>
      <c r="AS52" s="129"/>
      <c r="AT52" s="129"/>
      <c r="AU52" s="129"/>
      <c r="AV52" s="129"/>
      <c r="AW52" s="129"/>
      <c r="AX52" s="129"/>
      <c r="AY52" s="129"/>
      <c r="AZ52" s="129"/>
      <c r="BA52" s="129"/>
      <c r="BB52" s="129"/>
      <c r="BC52" s="129"/>
      <c r="BD52" s="129"/>
      <c r="BE52" s="129"/>
      <c r="BF52" s="129"/>
      <c r="BG52" s="129"/>
      <c r="BH52" s="129"/>
      <c r="BI52" s="129"/>
      <c r="BJ52" s="129"/>
      <c r="BK52" s="129"/>
      <c r="BL52" s="129"/>
      <c r="BM52" s="129"/>
      <c r="BN52" s="129"/>
      <c r="BO52" s="129"/>
      <c r="BP52" s="129"/>
      <c r="BQ52" s="129"/>
      <c r="BR52" s="129"/>
      <c r="BS52" s="129"/>
      <c r="BT52" s="129"/>
      <c r="BU52" s="129"/>
      <c r="BV52" s="129"/>
      <c r="BW52" s="129"/>
      <c r="BX52" s="129"/>
      <c r="BY52" s="129"/>
      <c r="BZ52" s="129"/>
      <c r="CA52" s="129"/>
      <c r="CB52" s="129"/>
      <c r="CC52" s="129"/>
      <c r="CD52" s="129"/>
      <c r="CE52" s="129"/>
      <c r="CF52" s="129"/>
      <c r="CG52" s="129"/>
      <c r="CH52" s="129"/>
      <c r="CI52" s="129"/>
    </row>
    <row r="53" spans="21:87" ht="15.75" x14ac:dyDescent="0.25">
      <c r="U53" s="166"/>
      <c r="V53" s="166"/>
      <c r="W53" s="124"/>
      <c r="X53" s="123"/>
      <c r="Y53" s="123"/>
      <c r="Z53" s="129"/>
      <c r="AA53" s="129"/>
      <c r="AB53" s="129"/>
      <c r="AC53" s="129"/>
      <c r="AD53" s="129"/>
      <c r="AE53" s="129"/>
      <c r="AF53" s="129"/>
      <c r="AG53" s="129"/>
      <c r="AH53" s="129"/>
      <c r="AI53" s="129"/>
      <c r="AJ53" s="129"/>
      <c r="AK53" s="129"/>
      <c r="AL53" s="129"/>
      <c r="AM53" s="129"/>
      <c r="AN53" s="129"/>
      <c r="AO53" s="129"/>
      <c r="AP53" s="129"/>
      <c r="AQ53" s="129"/>
      <c r="AR53" s="129"/>
      <c r="AS53" s="129"/>
      <c r="AT53" s="129"/>
      <c r="AU53" s="129"/>
      <c r="AV53" s="129"/>
      <c r="AW53" s="129"/>
      <c r="AX53" s="129"/>
      <c r="AY53" s="129"/>
      <c r="AZ53" s="129"/>
      <c r="BA53" s="129"/>
      <c r="BB53" s="129"/>
      <c r="BC53" s="129"/>
      <c r="BD53" s="129"/>
      <c r="BE53" s="129"/>
      <c r="BF53" s="129"/>
      <c r="BG53" s="129"/>
      <c r="BH53" s="129"/>
      <c r="BI53" s="129"/>
      <c r="BJ53" s="129"/>
      <c r="BK53" s="129"/>
      <c r="BL53" s="129"/>
      <c r="BM53" s="129"/>
      <c r="BN53" s="129"/>
      <c r="BO53" s="129"/>
      <c r="BP53" s="129"/>
      <c r="BQ53" s="129"/>
      <c r="BR53" s="129"/>
      <c r="BS53" s="129"/>
      <c r="BT53" s="129"/>
      <c r="BU53" s="129"/>
      <c r="BV53" s="129"/>
      <c r="BW53" s="129"/>
      <c r="BX53" s="129"/>
      <c r="BY53" s="129"/>
      <c r="BZ53" s="129"/>
      <c r="CA53" s="129"/>
      <c r="CB53" s="129"/>
      <c r="CC53" s="129"/>
      <c r="CD53" s="129"/>
      <c r="CE53" s="129"/>
      <c r="CF53" s="129"/>
      <c r="CG53" s="129"/>
      <c r="CH53" s="129"/>
      <c r="CI53" s="129"/>
    </row>
    <row r="54" spans="21:87" ht="15.75" x14ac:dyDescent="0.25">
      <c r="U54" s="166"/>
      <c r="V54" s="166"/>
      <c r="W54" s="124"/>
      <c r="X54" s="123"/>
      <c r="Y54" s="123"/>
      <c r="Z54" s="129"/>
      <c r="AA54" s="129"/>
      <c r="AB54" s="129"/>
      <c r="AC54" s="129"/>
      <c r="AD54" s="129"/>
      <c r="AE54" s="129"/>
      <c r="AF54" s="129"/>
      <c r="AG54" s="129"/>
      <c r="AH54" s="129"/>
      <c r="AI54" s="129"/>
      <c r="AJ54" s="129"/>
      <c r="AK54" s="129"/>
      <c r="AL54" s="129"/>
      <c r="AM54" s="129"/>
      <c r="AN54" s="129"/>
      <c r="AO54" s="129"/>
      <c r="AP54" s="129"/>
      <c r="AQ54" s="129"/>
      <c r="AR54" s="129"/>
      <c r="AS54" s="129"/>
      <c r="AT54" s="129"/>
      <c r="AU54" s="129"/>
      <c r="AV54" s="129"/>
      <c r="AW54" s="129"/>
      <c r="AX54" s="129"/>
      <c r="AY54" s="129"/>
      <c r="AZ54" s="129"/>
      <c r="BA54" s="129"/>
      <c r="BB54" s="129"/>
      <c r="BC54" s="129"/>
      <c r="BD54" s="129"/>
      <c r="BE54" s="129"/>
      <c r="BF54" s="129"/>
      <c r="BG54" s="129"/>
      <c r="BH54" s="129"/>
      <c r="BI54" s="129"/>
      <c r="BJ54" s="129"/>
      <c r="BK54" s="129"/>
      <c r="BL54" s="129"/>
      <c r="BM54" s="129"/>
      <c r="BN54" s="129"/>
      <c r="BO54" s="129"/>
      <c r="BP54" s="129"/>
      <c r="BQ54" s="129"/>
      <c r="BR54" s="129"/>
      <c r="BS54" s="129"/>
      <c r="BT54" s="129"/>
      <c r="BU54" s="129"/>
      <c r="BV54" s="129"/>
      <c r="BW54" s="129"/>
      <c r="BX54" s="129"/>
      <c r="BY54" s="129"/>
      <c r="BZ54" s="129"/>
      <c r="CA54" s="129"/>
      <c r="CB54" s="129"/>
      <c r="CC54" s="129"/>
      <c r="CD54" s="129"/>
      <c r="CE54" s="129"/>
      <c r="CF54" s="129"/>
      <c r="CG54" s="129"/>
      <c r="CH54" s="129"/>
      <c r="CI54" s="129"/>
    </row>
    <row r="55" spans="21:87" ht="15.75" x14ac:dyDescent="0.25">
      <c r="U55" s="166"/>
      <c r="V55" s="166"/>
      <c r="W55" s="124"/>
      <c r="X55" s="123"/>
      <c r="Y55" s="123"/>
      <c r="Z55" s="129"/>
      <c r="AA55" s="129"/>
      <c r="AB55" s="129"/>
      <c r="AC55" s="129"/>
      <c r="AD55" s="129"/>
      <c r="AE55" s="129"/>
      <c r="AF55" s="129"/>
      <c r="AG55" s="129"/>
      <c r="AH55" s="129"/>
      <c r="AI55" s="129"/>
      <c r="AJ55" s="129"/>
      <c r="AK55" s="129"/>
      <c r="AL55" s="129"/>
      <c r="AM55" s="129"/>
      <c r="AN55" s="129"/>
      <c r="AO55" s="129"/>
      <c r="AP55" s="129"/>
      <c r="AQ55" s="129"/>
      <c r="AR55" s="129"/>
      <c r="AS55" s="129"/>
      <c r="AT55" s="129"/>
      <c r="AU55" s="129"/>
      <c r="AV55" s="129"/>
      <c r="AW55" s="129"/>
      <c r="AX55" s="129"/>
      <c r="AY55" s="129"/>
      <c r="AZ55" s="129"/>
      <c r="BA55" s="129"/>
      <c r="BB55" s="129"/>
      <c r="BC55" s="129"/>
      <c r="BD55" s="129"/>
      <c r="BE55" s="129"/>
      <c r="BF55" s="129"/>
      <c r="BG55" s="129"/>
      <c r="BH55" s="129"/>
      <c r="BI55" s="129"/>
      <c r="BJ55" s="129"/>
      <c r="BK55" s="129"/>
      <c r="BL55" s="129"/>
      <c r="BM55" s="129"/>
      <c r="BN55" s="129"/>
      <c r="BO55" s="129"/>
      <c r="BP55" s="129"/>
      <c r="BQ55" s="129"/>
      <c r="BR55" s="129"/>
      <c r="BS55" s="129"/>
      <c r="BT55" s="129"/>
      <c r="BU55" s="129"/>
      <c r="BV55" s="129"/>
      <c r="BW55" s="129"/>
      <c r="BX55" s="129"/>
      <c r="BY55" s="129"/>
      <c r="BZ55" s="129"/>
      <c r="CA55" s="129"/>
      <c r="CB55" s="129"/>
      <c r="CC55" s="129"/>
      <c r="CD55" s="129"/>
      <c r="CE55" s="129"/>
      <c r="CF55" s="129"/>
      <c r="CG55" s="129"/>
      <c r="CH55" s="129"/>
      <c r="CI55" s="129"/>
    </row>
    <row r="56" spans="21:87" ht="15.75" x14ac:dyDescent="0.25">
      <c r="U56" s="166"/>
      <c r="V56" s="166"/>
      <c r="W56" s="124"/>
      <c r="X56" s="123"/>
      <c r="Y56" s="123"/>
      <c r="Z56" s="129"/>
      <c r="AA56" s="129"/>
      <c r="AB56" s="129"/>
      <c r="AC56" s="129"/>
      <c r="AD56" s="129"/>
      <c r="AE56" s="129"/>
      <c r="AF56" s="129"/>
      <c r="AG56" s="129"/>
      <c r="AH56" s="129"/>
      <c r="AI56" s="129"/>
      <c r="AJ56" s="129"/>
      <c r="AK56" s="129"/>
      <c r="AL56" s="129"/>
      <c r="AM56" s="129"/>
      <c r="AN56" s="129"/>
      <c r="AO56" s="129"/>
      <c r="AP56" s="129"/>
      <c r="AQ56" s="129"/>
      <c r="AR56" s="129"/>
      <c r="AS56" s="129"/>
      <c r="AT56" s="129"/>
      <c r="AU56" s="129"/>
      <c r="AV56" s="129"/>
      <c r="AW56" s="129"/>
      <c r="AX56" s="129"/>
      <c r="AY56" s="129"/>
      <c r="AZ56" s="129"/>
      <c r="BA56" s="129"/>
      <c r="BB56" s="129"/>
      <c r="BC56" s="129"/>
      <c r="BD56" s="129"/>
      <c r="BE56" s="129"/>
      <c r="BF56" s="129"/>
      <c r="BG56" s="129"/>
      <c r="BH56" s="129"/>
      <c r="BI56" s="129"/>
      <c r="BJ56" s="129"/>
      <c r="BK56" s="129"/>
      <c r="BL56" s="129"/>
      <c r="BM56" s="129"/>
      <c r="BN56" s="129"/>
      <c r="BO56" s="129"/>
      <c r="BP56" s="129"/>
      <c r="BQ56" s="129"/>
      <c r="BR56" s="129"/>
      <c r="BS56" s="129"/>
      <c r="BT56" s="129"/>
      <c r="BU56" s="129"/>
      <c r="BV56" s="129"/>
      <c r="BW56" s="129"/>
      <c r="BX56" s="129"/>
      <c r="BY56" s="129"/>
      <c r="BZ56" s="129"/>
      <c r="CA56" s="129"/>
      <c r="CB56" s="129"/>
      <c r="CC56" s="129"/>
      <c r="CD56" s="129"/>
      <c r="CE56" s="129"/>
      <c r="CF56" s="129"/>
      <c r="CG56" s="129"/>
      <c r="CH56" s="129"/>
      <c r="CI56" s="129"/>
    </row>
    <row r="57" spans="21:87" ht="15.75" x14ac:dyDescent="0.25">
      <c r="U57" s="166"/>
      <c r="V57" s="166"/>
      <c r="W57" s="124"/>
      <c r="X57" s="123"/>
      <c r="Y57" s="123"/>
      <c r="Z57" s="129"/>
      <c r="AA57" s="129"/>
      <c r="AB57" s="129"/>
      <c r="AC57" s="129"/>
      <c r="AD57" s="129"/>
      <c r="AE57" s="129"/>
      <c r="AF57" s="129"/>
      <c r="AG57" s="129"/>
      <c r="AH57" s="129"/>
      <c r="AI57" s="129"/>
      <c r="AJ57" s="129"/>
      <c r="AK57" s="129"/>
      <c r="AL57" s="129"/>
      <c r="AM57" s="129"/>
      <c r="AN57" s="129"/>
      <c r="AO57" s="129"/>
      <c r="AP57" s="129"/>
      <c r="AQ57" s="129"/>
      <c r="AR57" s="129"/>
      <c r="AS57" s="129"/>
      <c r="AT57" s="129"/>
      <c r="AU57" s="129"/>
      <c r="AV57" s="129"/>
      <c r="AW57" s="129"/>
      <c r="AX57" s="129"/>
      <c r="AY57" s="129"/>
      <c r="AZ57" s="129"/>
      <c r="BA57" s="129"/>
      <c r="BB57" s="129"/>
      <c r="BC57" s="129"/>
      <c r="BD57" s="129"/>
      <c r="BE57" s="129"/>
      <c r="BF57" s="129"/>
      <c r="BG57" s="129"/>
      <c r="BH57" s="129"/>
      <c r="BI57" s="129"/>
      <c r="BJ57" s="129"/>
      <c r="BK57" s="129"/>
      <c r="BL57" s="129"/>
      <c r="BM57" s="129"/>
      <c r="BN57" s="129"/>
      <c r="BO57" s="129"/>
      <c r="BP57" s="129"/>
      <c r="BQ57" s="129"/>
      <c r="BR57" s="129"/>
      <c r="BS57" s="129"/>
      <c r="BT57" s="129"/>
      <c r="BU57" s="129"/>
      <c r="BV57" s="129"/>
      <c r="BW57" s="129"/>
      <c r="BX57" s="129"/>
      <c r="BY57" s="129"/>
      <c r="BZ57" s="129"/>
      <c r="CA57" s="129"/>
      <c r="CB57" s="129"/>
      <c r="CC57" s="129"/>
      <c r="CD57" s="129"/>
      <c r="CE57" s="129"/>
      <c r="CF57" s="129"/>
      <c r="CG57" s="129"/>
      <c r="CH57" s="129"/>
      <c r="CI57" s="129"/>
    </row>
    <row r="58" spans="21:87" ht="15.75" x14ac:dyDescent="0.25">
      <c r="U58" s="166"/>
      <c r="V58" s="166"/>
      <c r="W58" s="124"/>
      <c r="X58" s="123"/>
      <c r="Y58" s="123"/>
      <c r="Z58" s="129"/>
      <c r="AA58" s="129"/>
      <c r="AB58" s="129"/>
      <c r="AC58" s="129"/>
      <c r="AD58" s="129"/>
      <c r="AE58" s="129"/>
      <c r="AF58" s="129"/>
      <c r="AG58" s="129"/>
      <c r="AH58" s="129"/>
      <c r="AI58" s="129"/>
      <c r="AJ58" s="129"/>
      <c r="AK58" s="129"/>
      <c r="AL58" s="129"/>
      <c r="AM58" s="129"/>
      <c r="AN58" s="129"/>
      <c r="AO58" s="129"/>
      <c r="AP58" s="129"/>
      <c r="AQ58" s="129"/>
      <c r="AR58" s="129"/>
      <c r="AS58" s="129"/>
      <c r="AT58" s="129"/>
      <c r="AU58" s="129"/>
      <c r="AV58" s="129"/>
      <c r="AW58" s="129"/>
      <c r="AX58" s="129"/>
      <c r="AY58" s="129"/>
      <c r="AZ58" s="129"/>
      <c r="BA58" s="129"/>
      <c r="BB58" s="129"/>
      <c r="BC58" s="129"/>
      <c r="BD58" s="129"/>
      <c r="BE58" s="129"/>
      <c r="BF58" s="129"/>
      <c r="BG58" s="129"/>
      <c r="BH58" s="129"/>
      <c r="BI58" s="129"/>
      <c r="BJ58" s="129"/>
      <c r="BK58" s="129"/>
      <c r="BL58" s="129"/>
      <c r="BM58" s="129"/>
      <c r="BN58" s="129"/>
      <c r="BO58" s="129"/>
      <c r="BP58" s="129"/>
      <c r="BQ58" s="129"/>
      <c r="BR58" s="129"/>
      <c r="BS58" s="129"/>
      <c r="BT58" s="129"/>
      <c r="BU58" s="129"/>
      <c r="BV58" s="129"/>
      <c r="BW58" s="129"/>
      <c r="BX58" s="129"/>
      <c r="BY58" s="129"/>
      <c r="BZ58" s="129"/>
      <c r="CA58" s="129"/>
      <c r="CB58" s="129"/>
      <c r="CC58" s="129"/>
      <c r="CD58" s="129"/>
      <c r="CE58" s="129"/>
      <c r="CF58" s="129"/>
      <c r="CG58" s="129"/>
      <c r="CH58" s="129"/>
      <c r="CI58" s="129"/>
    </row>
    <row r="59" spans="21:87" ht="15.75" x14ac:dyDescent="0.25">
      <c r="U59" s="166"/>
      <c r="V59" s="166"/>
      <c r="W59" s="124"/>
      <c r="X59" s="123"/>
      <c r="Y59" s="123"/>
      <c r="Z59" s="129"/>
      <c r="AA59" s="129"/>
      <c r="AB59" s="129"/>
      <c r="AC59" s="129"/>
      <c r="AD59" s="129"/>
      <c r="AE59" s="129"/>
      <c r="AF59" s="129"/>
      <c r="AG59" s="129"/>
      <c r="AH59" s="129"/>
      <c r="AI59" s="129"/>
      <c r="AJ59" s="129"/>
      <c r="AK59" s="129"/>
      <c r="AL59" s="129"/>
      <c r="AM59" s="129"/>
      <c r="AN59" s="129"/>
      <c r="AO59" s="129"/>
      <c r="AP59" s="129"/>
      <c r="AQ59" s="129"/>
      <c r="AR59" s="129"/>
      <c r="AS59" s="129"/>
      <c r="AT59" s="129"/>
      <c r="AU59" s="129"/>
      <c r="AV59" s="129"/>
      <c r="AW59" s="129"/>
      <c r="AX59" s="129"/>
      <c r="AY59" s="129"/>
      <c r="AZ59" s="129"/>
      <c r="BA59" s="129"/>
      <c r="BB59" s="129"/>
      <c r="BC59" s="129"/>
      <c r="BD59" s="129"/>
      <c r="BE59" s="129"/>
      <c r="BF59" s="129"/>
      <c r="BG59" s="129"/>
      <c r="BH59" s="129"/>
      <c r="BI59" s="129"/>
      <c r="BJ59" s="129"/>
      <c r="BK59" s="129"/>
      <c r="BL59" s="129"/>
      <c r="BM59" s="129"/>
      <c r="BN59" s="129"/>
      <c r="BO59" s="129"/>
      <c r="BP59" s="129"/>
      <c r="BQ59" s="129"/>
      <c r="BR59" s="129"/>
      <c r="BS59" s="129"/>
      <c r="BT59" s="129"/>
      <c r="BU59" s="129"/>
      <c r="BV59" s="129"/>
      <c r="BW59" s="129"/>
      <c r="BX59" s="129"/>
      <c r="BY59" s="129"/>
      <c r="BZ59" s="129"/>
      <c r="CA59" s="129"/>
      <c r="CB59" s="129"/>
      <c r="CC59" s="129"/>
      <c r="CD59" s="129"/>
      <c r="CE59" s="129"/>
      <c r="CF59" s="129"/>
      <c r="CG59" s="129"/>
      <c r="CH59" s="129"/>
      <c r="CI59" s="129"/>
    </row>
    <row r="60" spans="21:87" ht="15.75" x14ac:dyDescent="0.25">
      <c r="U60" s="166"/>
      <c r="V60" s="166"/>
      <c r="W60" s="124"/>
      <c r="X60" s="123"/>
      <c r="Y60" s="123"/>
      <c r="Z60" s="129"/>
      <c r="AA60" s="129"/>
      <c r="AB60" s="129"/>
      <c r="AC60" s="129"/>
      <c r="AD60" s="129"/>
      <c r="AE60" s="129"/>
      <c r="AF60" s="129"/>
      <c r="AG60" s="129"/>
      <c r="AH60" s="129"/>
      <c r="AI60" s="129"/>
      <c r="AJ60" s="129"/>
      <c r="AK60" s="129"/>
      <c r="AL60" s="129"/>
      <c r="AM60" s="129"/>
      <c r="AN60" s="129"/>
      <c r="AO60" s="129"/>
      <c r="AP60" s="129"/>
      <c r="AQ60" s="129"/>
      <c r="AR60" s="129"/>
      <c r="AS60" s="129"/>
      <c r="AT60" s="129"/>
      <c r="AU60" s="129"/>
      <c r="AV60" s="129"/>
      <c r="AW60" s="129"/>
      <c r="AX60" s="129"/>
      <c r="AY60" s="129"/>
      <c r="AZ60" s="129"/>
      <c r="BA60" s="129"/>
      <c r="BB60" s="129"/>
      <c r="BC60" s="129"/>
      <c r="BD60" s="129"/>
      <c r="BE60" s="129"/>
      <c r="BF60" s="129"/>
      <c r="BG60" s="129"/>
      <c r="BH60" s="129"/>
      <c r="BI60" s="129"/>
      <c r="BJ60" s="129"/>
      <c r="BK60" s="129"/>
      <c r="BL60" s="129"/>
      <c r="BM60" s="129"/>
      <c r="BN60" s="129"/>
      <c r="BO60" s="129"/>
      <c r="BP60" s="129"/>
      <c r="BQ60" s="129"/>
      <c r="BR60" s="129"/>
      <c r="BS60" s="129"/>
      <c r="BT60" s="129"/>
      <c r="BU60" s="129"/>
      <c r="BV60" s="129"/>
      <c r="BW60" s="129"/>
      <c r="BX60" s="129"/>
      <c r="BY60" s="129"/>
      <c r="BZ60" s="129"/>
      <c r="CA60" s="129"/>
      <c r="CB60" s="129"/>
      <c r="CC60" s="129"/>
      <c r="CD60" s="129"/>
      <c r="CE60" s="129"/>
      <c r="CF60" s="129"/>
      <c r="CG60" s="129"/>
      <c r="CH60" s="129"/>
      <c r="CI60" s="129"/>
    </row>
    <row r="61" spans="21:87" ht="15.75" x14ac:dyDescent="0.25">
      <c r="U61" s="166"/>
      <c r="V61" s="166"/>
      <c r="W61" s="124"/>
      <c r="X61" s="123"/>
      <c r="Y61" s="123"/>
      <c r="Z61" s="129"/>
      <c r="AA61" s="129"/>
      <c r="AB61" s="129"/>
      <c r="AC61" s="129"/>
      <c r="AD61" s="129"/>
      <c r="AE61" s="129"/>
      <c r="AF61" s="129"/>
      <c r="AG61" s="129"/>
      <c r="AH61" s="129"/>
      <c r="AI61" s="129"/>
      <c r="AJ61" s="129"/>
      <c r="AK61" s="129"/>
      <c r="AL61" s="129"/>
      <c r="AM61" s="129"/>
      <c r="AN61" s="129"/>
      <c r="AO61" s="129"/>
      <c r="AP61" s="129"/>
      <c r="AQ61" s="129"/>
      <c r="AR61" s="129"/>
      <c r="AS61" s="129"/>
      <c r="AT61" s="129"/>
      <c r="AU61" s="129"/>
      <c r="AV61" s="129"/>
      <c r="AW61" s="129"/>
      <c r="AX61" s="129"/>
      <c r="AY61" s="129"/>
      <c r="AZ61" s="129"/>
      <c r="BA61" s="129"/>
      <c r="BB61" s="129"/>
      <c r="BC61" s="129"/>
      <c r="BD61" s="129"/>
      <c r="BE61" s="129"/>
      <c r="BF61" s="129"/>
      <c r="BG61" s="129"/>
      <c r="BH61" s="129"/>
      <c r="BI61" s="129"/>
      <c r="BJ61" s="129"/>
      <c r="BK61" s="129"/>
      <c r="BL61" s="129"/>
      <c r="BM61" s="129"/>
      <c r="BN61" s="129"/>
      <c r="BO61" s="129"/>
      <c r="BP61" s="129"/>
      <c r="BQ61" s="129"/>
      <c r="BR61" s="129"/>
      <c r="BS61" s="129"/>
      <c r="BT61" s="129"/>
      <c r="BU61" s="129"/>
      <c r="BV61" s="129"/>
      <c r="BW61" s="129"/>
      <c r="BX61" s="129"/>
      <c r="BY61" s="129"/>
      <c r="BZ61" s="129"/>
      <c r="CA61" s="129"/>
      <c r="CB61" s="129"/>
      <c r="CC61" s="129"/>
      <c r="CD61" s="129"/>
      <c r="CE61" s="240"/>
      <c r="CF61" s="240"/>
      <c r="CG61" s="240"/>
      <c r="CH61" s="240"/>
      <c r="CI61" s="240"/>
    </row>
    <row r="62" spans="21:87" ht="15.75" x14ac:dyDescent="0.25">
      <c r="U62" s="166"/>
      <c r="V62" s="166"/>
      <c r="W62" s="124"/>
      <c r="X62" s="123"/>
      <c r="Y62" s="123"/>
      <c r="Z62" s="129"/>
      <c r="AA62" s="129"/>
      <c r="AB62" s="129"/>
      <c r="AC62" s="129"/>
      <c r="AD62" s="129"/>
      <c r="AE62" s="129"/>
      <c r="AF62" s="129"/>
      <c r="AG62" s="129"/>
      <c r="AH62" s="129"/>
      <c r="AI62" s="129"/>
      <c r="AJ62" s="129"/>
      <c r="AK62" s="129"/>
      <c r="AL62" s="129"/>
      <c r="AM62" s="129"/>
      <c r="AN62" s="129"/>
      <c r="AO62" s="129"/>
      <c r="AP62" s="129"/>
      <c r="AQ62" s="129"/>
      <c r="AR62" s="129"/>
      <c r="AS62" s="129"/>
      <c r="AT62" s="129"/>
      <c r="AU62" s="129"/>
      <c r="AV62" s="129"/>
      <c r="AW62" s="129"/>
      <c r="AX62" s="129"/>
      <c r="AY62" s="129"/>
      <c r="AZ62" s="129"/>
      <c r="BA62" s="129"/>
      <c r="BB62" s="129"/>
      <c r="BC62" s="129"/>
      <c r="BD62" s="129"/>
      <c r="BE62" s="129"/>
      <c r="BF62" s="129"/>
      <c r="BG62" s="129"/>
      <c r="BH62" s="129"/>
      <c r="BI62" s="129"/>
      <c r="BJ62" s="129"/>
      <c r="BK62" s="129"/>
      <c r="BL62" s="129"/>
      <c r="BM62" s="129"/>
      <c r="BN62" s="129"/>
      <c r="BO62" s="129"/>
      <c r="BP62" s="129"/>
      <c r="BQ62" s="129"/>
      <c r="BR62" s="129"/>
      <c r="BS62" s="129"/>
      <c r="BT62" s="129"/>
      <c r="BU62" s="129"/>
      <c r="BV62" s="129"/>
      <c r="BW62" s="129"/>
      <c r="BX62" s="129"/>
      <c r="BY62" s="129"/>
      <c r="BZ62" s="129"/>
      <c r="CA62" s="129"/>
      <c r="CB62" s="129"/>
      <c r="CC62" s="129"/>
      <c r="CD62" s="129"/>
      <c r="CE62" s="129"/>
      <c r="CF62" s="129"/>
      <c r="CG62" s="129"/>
      <c r="CH62" s="129"/>
      <c r="CI62" s="129"/>
    </row>
    <row r="63" spans="21:87" ht="15.75" x14ac:dyDescent="0.25">
      <c r="U63" s="166"/>
      <c r="V63" s="166"/>
      <c r="W63" s="124"/>
      <c r="X63" s="123"/>
      <c r="Y63" s="123"/>
      <c r="Z63" s="129"/>
      <c r="AA63" s="129"/>
      <c r="AB63" s="129"/>
      <c r="AC63" s="129"/>
      <c r="AD63" s="129"/>
      <c r="AE63" s="129"/>
      <c r="AF63" s="129"/>
      <c r="AG63" s="129"/>
      <c r="AH63" s="129"/>
      <c r="AI63" s="129"/>
      <c r="AJ63" s="129"/>
      <c r="AK63" s="129"/>
      <c r="AL63" s="129"/>
      <c r="AM63" s="129"/>
      <c r="AN63" s="129"/>
      <c r="AO63" s="129"/>
      <c r="AP63" s="129"/>
      <c r="AQ63" s="129"/>
      <c r="AR63" s="129"/>
      <c r="AS63" s="129"/>
      <c r="AT63" s="129"/>
      <c r="AU63" s="129"/>
      <c r="AV63" s="129"/>
      <c r="AW63" s="129"/>
      <c r="AX63" s="129"/>
      <c r="AY63" s="129"/>
      <c r="AZ63" s="129"/>
      <c r="BA63" s="129"/>
      <c r="BB63" s="129"/>
      <c r="BC63" s="129"/>
      <c r="BD63" s="129"/>
      <c r="BE63" s="129"/>
      <c r="BF63" s="129"/>
      <c r="BG63" s="129"/>
      <c r="BH63" s="129"/>
      <c r="BI63" s="129"/>
      <c r="BJ63" s="129"/>
      <c r="BK63" s="129"/>
      <c r="BL63" s="129"/>
      <c r="BM63" s="129"/>
      <c r="BN63" s="129"/>
      <c r="BO63" s="129"/>
      <c r="BP63" s="129"/>
      <c r="BQ63" s="129"/>
      <c r="BR63" s="129"/>
      <c r="BS63" s="129"/>
      <c r="BT63" s="129"/>
      <c r="BU63" s="129"/>
      <c r="BV63" s="129"/>
      <c r="BW63" s="129"/>
      <c r="BX63" s="129"/>
      <c r="BY63" s="129"/>
      <c r="BZ63" s="129"/>
      <c r="CA63" s="129"/>
      <c r="CB63" s="129"/>
      <c r="CC63" s="129"/>
      <c r="CD63" s="129"/>
      <c r="CE63" s="520"/>
      <c r="CF63" s="520"/>
      <c r="CG63" s="520"/>
      <c r="CH63" s="520"/>
      <c r="CI63" s="520"/>
    </row>
    <row r="64" spans="21:87" ht="15.75" x14ac:dyDescent="0.25">
      <c r="U64" s="166"/>
      <c r="V64" s="166"/>
      <c r="W64" s="124"/>
      <c r="X64" s="123"/>
      <c r="Y64" s="123"/>
      <c r="Z64" s="129"/>
      <c r="AA64" s="129"/>
      <c r="AB64" s="129"/>
      <c r="AC64" s="129"/>
      <c r="AD64" s="129"/>
      <c r="AE64" s="129"/>
      <c r="AF64" s="129"/>
      <c r="AG64" s="129"/>
      <c r="AH64" s="129"/>
      <c r="AI64" s="129"/>
      <c r="AJ64" s="129"/>
      <c r="AK64" s="129"/>
      <c r="AL64" s="129"/>
      <c r="AM64" s="129"/>
      <c r="AN64" s="129"/>
      <c r="AO64" s="129"/>
      <c r="AP64" s="129"/>
      <c r="AQ64" s="129"/>
      <c r="AR64" s="129"/>
      <c r="AS64" s="129"/>
      <c r="AT64" s="129"/>
      <c r="AU64" s="129"/>
      <c r="AV64" s="129"/>
      <c r="AW64" s="129"/>
      <c r="AX64" s="129"/>
      <c r="AY64" s="129"/>
      <c r="AZ64" s="129"/>
      <c r="BA64" s="129"/>
      <c r="BB64" s="129"/>
      <c r="BC64" s="129"/>
      <c r="BD64" s="129"/>
      <c r="BE64" s="129"/>
      <c r="BF64" s="129"/>
      <c r="BG64" s="129"/>
      <c r="BH64" s="129"/>
      <c r="BI64" s="129"/>
      <c r="BJ64" s="129"/>
      <c r="BK64" s="129"/>
      <c r="BL64" s="129"/>
      <c r="BM64" s="129"/>
      <c r="BN64" s="129"/>
      <c r="BO64" s="129"/>
      <c r="BP64" s="129"/>
      <c r="BQ64" s="129"/>
      <c r="BR64" s="129"/>
      <c r="BS64" s="129"/>
      <c r="BT64" s="129"/>
      <c r="BU64" s="129"/>
      <c r="BV64" s="129"/>
      <c r="BW64" s="129"/>
      <c r="BX64" s="129"/>
      <c r="BY64" s="129"/>
      <c r="BZ64" s="129"/>
      <c r="CA64" s="129"/>
      <c r="CB64" s="129"/>
      <c r="CC64" s="129"/>
      <c r="CD64" s="129"/>
      <c r="CE64" s="520"/>
      <c r="CF64" s="520"/>
      <c r="CG64" s="520"/>
      <c r="CH64" s="520"/>
      <c r="CI64" s="520"/>
    </row>
    <row r="65" spans="21:87" ht="15.75" x14ac:dyDescent="0.25">
      <c r="U65" s="166"/>
      <c r="V65" s="166"/>
      <c r="W65" s="124"/>
      <c r="X65" s="123"/>
      <c r="Y65" s="123"/>
      <c r="Z65" s="129"/>
      <c r="AA65" s="129"/>
      <c r="AB65" s="129"/>
      <c r="AC65" s="129"/>
      <c r="AD65" s="129"/>
      <c r="AE65" s="129"/>
      <c r="AF65" s="129"/>
      <c r="AG65" s="129"/>
      <c r="AH65" s="129"/>
      <c r="AI65" s="129"/>
      <c r="AJ65" s="129"/>
      <c r="AK65" s="129"/>
      <c r="AL65" s="129"/>
      <c r="AM65" s="129"/>
      <c r="AN65" s="129"/>
      <c r="AO65" s="129"/>
      <c r="AP65" s="129"/>
      <c r="AQ65" s="129"/>
      <c r="AR65" s="129"/>
      <c r="AS65" s="129"/>
      <c r="AT65" s="129"/>
      <c r="AU65" s="129"/>
      <c r="AV65" s="129"/>
      <c r="AW65" s="129"/>
      <c r="AX65" s="129"/>
      <c r="AY65" s="129"/>
      <c r="AZ65" s="129"/>
      <c r="BA65" s="129"/>
      <c r="BB65" s="129"/>
      <c r="BC65" s="129"/>
      <c r="BD65" s="129"/>
      <c r="BE65" s="129"/>
      <c r="BF65" s="129"/>
      <c r="BG65" s="129"/>
      <c r="BH65" s="129"/>
      <c r="BI65" s="129"/>
      <c r="BJ65" s="129"/>
      <c r="BK65" s="129"/>
      <c r="BL65" s="129"/>
      <c r="BM65" s="129"/>
      <c r="BN65" s="129"/>
      <c r="BO65" s="129"/>
      <c r="BP65" s="129"/>
      <c r="BQ65" s="129"/>
      <c r="BR65" s="129"/>
      <c r="BS65" s="129"/>
      <c r="BT65" s="129"/>
      <c r="BU65" s="129"/>
      <c r="BV65" s="129"/>
      <c r="BW65" s="129"/>
      <c r="BX65" s="129"/>
      <c r="BY65" s="129"/>
      <c r="BZ65" s="129"/>
      <c r="CA65" s="129"/>
      <c r="CB65" s="129"/>
      <c r="CC65" s="129"/>
      <c r="CD65" s="129"/>
    </row>
    <row r="66" spans="21:87" ht="15.75" x14ac:dyDescent="0.25">
      <c r="U66" s="166"/>
      <c r="V66" s="166"/>
      <c r="W66" s="124"/>
      <c r="X66" s="123"/>
      <c r="Y66" s="123"/>
      <c r="Z66" s="129"/>
      <c r="AA66" s="129"/>
      <c r="AB66" s="129"/>
      <c r="AC66" s="129"/>
      <c r="AD66" s="129"/>
      <c r="AE66" s="129"/>
      <c r="AF66" s="129"/>
      <c r="AG66" s="129"/>
      <c r="AH66" s="129"/>
      <c r="AI66" s="129"/>
      <c r="AJ66" s="129"/>
      <c r="AK66" s="129"/>
      <c r="AL66" s="129"/>
      <c r="AM66" s="129"/>
      <c r="AN66" s="129"/>
      <c r="AO66" s="129"/>
      <c r="AP66" s="129"/>
      <c r="AQ66" s="129"/>
      <c r="AR66" s="129"/>
      <c r="AS66" s="129"/>
      <c r="AT66" s="129"/>
      <c r="AU66" s="129"/>
      <c r="AV66" s="129"/>
      <c r="AW66" s="129"/>
      <c r="AX66" s="129"/>
      <c r="AY66" s="129"/>
      <c r="AZ66" s="129"/>
      <c r="BA66" s="129"/>
      <c r="BB66" s="129"/>
      <c r="BC66" s="129"/>
      <c r="BD66" s="129"/>
      <c r="BE66" s="129"/>
      <c r="BF66" s="129"/>
      <c r="BG66" s="129"/>
      <c r="BH66" s="129"/>
      <c r="BI66" s="129"/>
      <c r="BJ66" s="129"/>
      <c r="BK66" s="129"/>
      <c r="BL66" s="129"/>
      <c r="BM66" s="129"/>
      <c r="BN66" s="129"/>
      <c r="BO66" s="129"/>
      <c r="BP66" s="129"/>
      <c r="BQ66" s="129"/>
      <c r="BR66" s="129"/>
      <c r="BS66" s="129"/>
      <c r="BT66" s="129"/>
      <c r="BU66" s="129"/>
      <c r="BV66" s="129"/>
      <c r="BW66" s="129"/>
      <c r="BX66" s="129"/>
      <c r="BY66" s="129"/>
      <c r="BZ66" s="129"/>
      <c r="CA66" s="129"/>
      <c r="CB66" s="129"/>
      <c r="CC66" s="129"/>
      <c r="CD66" s="129"/>
      <c r="CE66" s="121"/>
      <c r="CF66" s="121"/>
      <c r="CG66" s="121"/>
      <c r="CH66" s="121"/>
      <c r="CI66" s="121"/>
    </row>
    <row r="67" spans="21:87" ht="15.75" x14ac:dyDescent="0.25">
      <c r="U67" s="166"/>
      <c r="V67" s="166"/>
      <c r="W67" s="124"/>
      <c r="X67" s="123"/>
      <c r="Y67" s="123"/>
      <c r="Z67" s="129"/>
      <c r="AA67" s="129"/>
      <c r="AB67" s="129"/>
      <c r="AC67" s="129"/>
      <c r="AD67" s="129"/>
      <c r="AE67" s="129"/>
      <c r="AF67" s="129"/>
      <c r="AG67" s="129"/>
      <c r="AH67" s="129"/>
      <c r="AI67" s="129"/>
      <c r="AJ67" s="129"/>
      <c r="AK67" s="129"/>
      <c r="AL67" s="129"/>
      <c r="AM67" s="129"/>
      <c r="AN67" s="129"/>
      <c r="AO67" s="129"/>
      <c r="AP67" s="129"/>
      <c r="AQ67" s="129"/>
      <c r="AR67" s="129"/>
      <c r="AS67" s="129"/>
      <c r="AT67" s="129"/>
      <c r="AU67" s="129"/>
      <c r="AV67" s="129"/>
      <c r="AW67" s="129"/>
      <c r="AX67" s="129"/>
      <c r="AY67" s="129"/>
      <c r="AZ67" s="129"/>
      <c r="BA67" s="129"/>
      <c r="BB67" s="129"/>
      <c r="BC67" s="129"/>
      <c r="BD67" s="129"/>
      <c r="BE67" s="129"/>
      <c r="BF67" s="129"/>
      <c r="BG67" s="129"/>
      <c r="BH67" s="129"/>
      <c r="BI67" s="129"/>
      <c r="BJ67" s="129"/>
      <c r="BK67" s="129"/>
      <c r="BL67" s="129"/>
      <c r="BM67" s="129"/>
      <c r="BN67" s="129"/>
      <c r="BO67" s="129"/>
      <c r="BP67" s="129"/>
      <c r="BQ67" s="129"/>
      <c r="BR67" s="129"/>
      <c r="BS67" s="129"/>
      <c r="BT67" s="129"/>
      <c r="BU67" s="129"/>
      <c r="BV67" s="129"/>
      <c r="BW67" s="129"/>
      <c r="BX67" s="129"/>
      <c r="BY67" s="129"/>
      <c r="BZ67" s="129"/>
      <c r="CA67" s="129"/>
      <c r="CB67" s="129"/>
      <c r="CC67" s="129"/>
      <c r="CD67" s="129"/>
      <c r="CE67" s="60"/>
      <c r="CF67" s="60"/>
      <c r="CG67" s="60"/>
      <c r="CH67" s="60"/>
      <c r="CI67" s="60"/>
    </row>
    <row r="68" spans="21:87" ht="15.75" x14ac:dyDescent="0.25">
      <c r="U68" s="166"/>
      <c r="V68" s="166"/>
      <c r="W68" s="124"/>
      <c r="X68" s="123"/>
      <c r="Y68" s="123"/>
      <c r="Z68" s="129"/>
      <c r="AA68" s="129"/>
      <c r="AB68" s="129"/>
      <c r="AC68" s="129"/>
      <c r="AD68" s="129"/>
      <c r="AE68" s="129"/>
      <c r="AF68" s="129"/>
      <c r="AG68" s="129"/>
      <c r="AH68" s="129"/>
      <c r="AI68" s="129"/>
      <c r="AJ68" s="129"/>
      <c r="AK68" s="129"/>
      <c r="AL68" s="129"/>
      <c r="AM68" s="129"/>
      <c r="AN68" s="129"/>
      <c r="AO68" s="129"/>
      <c r="AP68" s="129"/>
      <c r="AQ68" s="129"/>
      <c r="AR68" s="129"/>
      <c r="AS68" s="129"/>
      <c r="AT68" s="129"/>
      <c r="AU68" s="129"/>
      <c r="AV68" s="129"/>
      <c r="AW68" s="129"/>
      <c r="AX68" s="129"/>
      <c r="AY68" s="129"/>
      <c r="AZ68" s="129"/>
      <c r="BA68" s="129"/>
      <c r="BB68" s="129"/>
      <c r="BC68" s="129"/>
      <c r="BD68" s="129"/>
      <c r="BE68" s="129"/>
      <c r="BF68" s="129"/>
      <c r="BG68" s="129"/>
      <c r="BH68" s="129"/>
      <c r="BI68" s="129"/>
      <c r="BJ68" s="129"/>
      <c r="BK68" s="129"/>
      <c r="BL68" s="129"/>
      <c r="BM68" s="129"/>
      <c r="BN68" s="129"/>
      <c r="BO68" s="129"/>
      <c r="BP68" s="129"/>
      <c r="BQ68" s="129"/>
      <c r="BR68" s="129"/>
      <c r="BS68" s="129"/>
      <c r="BT68" s="129"/>
      <c r="BU68" s="129"/>
      <c r="BV68" s="129"/>
      <c r="BW68" s="129"/>
      <c r="BX68" s="129"/>
      <c r="BY68" s="129"/>
      <c r="BZ68" s="129"/>
      <c r="CA68" s="129"/>
      <c r="CB68" s="129"/>
      <c r="CC68" s="129"/>
      <c r="CD68" s="129"/>
      <c r="CE68" s="60"/>
      <c r="CF68" s="60"/>
      <c r="CG68" s="60"/>
      <c r="CH68" s="60"/>
      <c r="CI68" s="60"/>
    </row>
    <row r="69" spans="21:87" ht="15.75" x14ac:dyDescent="0.25">
      <c r="U69" s="166"/>
      <c r="V69" s="166"/>
      <c r="W69" s="124"/>
      <c r="X69" s="123"/>
      <c r="Y69" s="123"/>
      <c r="Z69" s="129"/>
      <c r="AA69" s="129"/>
      <c r="AB69" s="129"/>
      <c r="AC69" s="129"/>
      <c r="AD69" s="129"/>
      <c r="AE69" s="129"/>
      <c r="AF69" s="129"/>
      <c r="AG69" s="129"/>
      <c r="AH69" s="129"/>
      <c r="AI69" s="129"/>
      <c r="AJ69" s="129"/>
      <c r="AK69" s="129"/>
      <c r="AL69" s="129"/>
      <c r="AM69" s="129"/>
      <c r="AN69" s="129"/>
      <c r="AO69" s="129"/>
      <c r="AP69" s="129"/>
      <c r="AQ69" s="129"/>
      <c r="AR69" s="129"/>
      <c r="AS69" s="129"/>
      <c r="AT69" s="129"/>
      <c r="AU69" s="129"/>
      <c r="AV69" s="129"/>
      <c r="AW69" s="129"/>
      <c r="AX69" s="129"/>
      <c r="AY69" s="129"/>
      <c r="AZ69" s="129"/>
      <c r="BA69" s="129"/>
      <c r="BB69" s="129"/>
      <c r="BC69" s="129"/>
      <c r="BD69" s="129"/>
      <c r="BE69" s="129"/>
      <c r="BF69" s="129"/>
      <c r="BG69" s="129"/>
      <c r="BH69" s="129"/>
      <c r="BI69" s="129"/>
      <c r="BJ69" s="129"/>
      <c r="BK69" s="129"/>
      <c r="BL69" s="129"/>
      <c r="BM69" s="129"/>
      <c r="BN69" s="129"/>
      <c r="BO69" s="129"/>
      <c r="BP69" s="129"/>
      <c r="BQ69" s="129"/>
      <c r="BR69" s="129"/>
      <c r="BS69" s="129"/>
      <c r="BT69" s="129"/>
      <c r="BU69" s="129"/>
      <c r="BV69" s="129"/>
      <c r="BW69" s="129"/>
      <c r="BX69" s="129"/>
      <c r="BY69" s="129"/>
      <c r="BZ69" s="129"/>
      <c r="CA69" s="129"/>
      <c r="CB69" s="129"/>
      <c r="CC69" s="129"/>
      <c r="CD69" s="129"/>
      <c r="CE69" s="60"/>
      <c r="CF69" s="60"/>
      <c r="CG69" s="60"/>
      <c r="CH69" s="60"/>
      <c r="CI69" s="60"/>
    </row>
    <row r="70" spans="21:87" ht="15.75" x14ac:dyDescent="0.25">
      <c r="U70" s="166"/>
      <c r="V70" s="166"/>
      <c r="W70" s="124"/>
      <c r="X70" s="123"/>
      <c r="Y70" s="123"/>
      <c r="Z70" s="129"/>
      <c r="AA70" s="129"/>
      <c r="AB70" s="129"/>
      <c r="AC70" s="129"/>
      <c r="AD70" s="129"/>
      <c r="AE70" s="129"/>
      <c r="AF70" s="129"/>
      <c r="AG70" s="129"/>
      <c r="AH70" s="129"/>
      <c r="AI70" s="129"/>
      <c r="AJ70" s="129"/>
      <c r="AK70" s="129"/>
      <c r="AL70" s="129"/>
      <c r="AM70" s="129"/>
      <c r="AN70" s="129"/>
      <c r="AO70" s="129"/>
      <c r="AP70" s="129"/>
      <c r="AQ70" s="129"/>
      <c r="AR70" s="129"/>
      <c r="AS70" s="129"/>
      <c r="AT70" s="129"/>
      <c r="AU70" s="129"/>
      <c r="AV70" s="129"/>
      <c r="AW70" s="129"/>
      <c r="AX70" s="129"/>
      <c r="AY70" s="129"/>
      <c r="AZ70" s="129"/>
      <c r="BA70" s="129"/>
      <c r="BB70" s="129"/>
      <c r="BC70" s="129"/>
      <c r="BD70" s="129"/>
      <c r="BE70" s="129"/>
      <c r="BF70" s="129"/>
      <c r="BG70" s="129"/>
      <c r="BH70" s="129"/>
      <c r="BI70" s="129"/>
      <c r="BJ70" s="129"/>
      <c r="BK70" s="129"/>
      <c r="BL70" s="129"/>
      <c r="BM70" s="129"/>
      <c r="BN70" s="129"/>
      <c r="BO70" s="129"/>
      <c r="BP70" s="129"/>
      <c r="BQ70" s="129"/>
      <c r="BR70" s="129"/>
      <c r="BS70" s="129"/>
      <c r="BT70" s="129"/>
      <c r="BU70" s="129"/>
      <c r="BV70" s="129"/>
      <c r="BW70" s="129"/>
      <c r="BX70" s="129"/>
      <c r="BY70" s="129"/>
      <c r="BZ70" s="129"/>
      <c r="CA70" s="129"/>
      <c r="CB70" s="129"/>
      <c r="CC70" s="129"/>
      <c r="CD70" s="129"/>
      <c r="CE70" s="519"/>
      <c r="CF70" s="519"/>
      <c r="CG70" s="519"/>
      <c r="CH70" s="519"/>
      <c r="CI70" s="519"/>
    </row>
    <row r="71" spans="21:87" ht="15.75" x14ac:dyDescent="0.25">
      <c r="U71" s="166"/>
      <c r="V71" s="166"/>
      <c r="W71" s="124"/>
      <c r="X71" s="123"/>
      <c r="Y71" s="123"/>
      <c r="Z71" s="129"/>
      <c r="AA71" s="129"/>
      <c r="AB71" s="129"/>
      <c r="AC71" s="129"/>
      <c r="AD71" s="129"/>
      <c r="AE71" s="129"/>
      <c r="AF71" s="129"/>
      <c r="AG71" s="129"/>
      <c r="AH71" s="129"/>
      <c r="AI71" s="129"/>
      <c r="AJ71" s="129"/>
      <c r="AK71" s="129"/>
      <c r="AL71" s="129"/>
      <c r="AM71" s="129"/>
      <c r="AN71" s="129"/>
      <c r="AO71" s="129"/>
      <c r="AP71" s="129"/>
      <c r="AQ71" s="129"/>
      <c r="AR71" s="129"/>
      <c r="AS71" s="129"/>
      <c r="AT71" s="129"/>
      <c r="AU71" s="129"/>
      <c r="AV71" s="129"/>
      <c r="AW71" s="129"/>
      <c r="AX71" s="129"/>
      <c r="AY71" s="129"/>
      <c r="AZ71" s="129"/>
      <c r="BA71" s="129"/>
      <c r="BB71" s="129"/>
      <c r="BC71" s="129"/>
      <c r="BD71" s="129"/>
      <c r="BE71" s="129"/>
      <c r="BF71" s="129"/>
      <c r="BG71" s="129"/>
      <c r="BH71" s="129"/>
      <c r="BI71" s="129"/>
      <c r="BJ71" s="129"/>
      <c r="BK71" s="129"/>
      <c r="BL71" s="129"/>
      <c r="BM71" s="129"/>
      <c r="BN71" s="129"/>
      <c r="BO71" s="129"/>
      <c r="BP71" s="129"/>
      <c r="BQ71" s="129"/>
      <c r="BR71" s="129"/>
      <c r="BS71" s="129"/>
      <c r="BT71" s="129"/>
      <c r="BU71" s="129"/>
      <c r="BV71" s="129"/>
      <c r="BW71" s="129"/>
      <c r="BX71" s="129"/>
      <c r="BY71" s="129"/>
      <c r="BZ71" s="129"/>
      <c r="CA71" s="129"/>
      <c r="CB71" s="129"/>
      <c r="CC71" s="129"/>
      <c r="CD71" s="129"/>
      <c r="CE71" s="519"/>
      <c r="CF71" s="519"/>
      <c r="CG71" s="519"/>
      <c r="CH71" s="519"/>
      <c r="CI71" s="519"/>
    </row>
    <row r="72" spans="21:87" ht="15.75" x14ac:dyDescent="0.25">
      <c r="U72" s="166"/>
      <c r="V72" s="166"/>
      <c r="W72" s="124"/>
      <c r="X72" s="123"/>
      <c r="Y72" s="123"/>
      <c r="Z72" s="129"/>
      <c r="AA72" s="129"/>
      <c r="AB72" s="129"/>
      <c r="AC72" s="129"/>
      <c r="AD72" s="129"/>
      <c r="AE72" s="129"/>
      <c r="AF72" s="129"/>
      <c r="AG72" s="129"/>
      <c r="AH72" s="129"/>
      <c r="AI72" s="129"/>
      <c r="AJ72" s="129"/>
      <c r="AK72" s="129"/>
      <c r="AL72" s="129"/>
      <c r="AM72" s="129"/>
      <c r="AN72" s="129"/>
      <c r="AO72" s="129"/>
      <c r="AP72" s="129"/>
      <c r="AQ72" s="129"/>
      <c r="AR72" s="129"/>
      <c r="AS72" s="129"/>
      <c r="AT72" s="129"/>
      <c r="AU72" s="129"/>
      <c r="AV72" s="129"/>
      <c r="AW72" s="129"/>
      <c r="AX72" s="129"/>
      <c r="AY72" s="129"/>
      <c r="AZ72" s="129"/>
      <c r="BA72" s="129"/>
      <c r="BB72" s="129"/>
      <c r="BC72" s="129"/>
      <c r="BD72" s="129"/>
      <c r="BE72" s="129"/>
      <c r="BF72" s="129"/>
      <c r="BG72" s="129"/>
      <c r="BH72" s="129"/>
      <c r="BI72" s="129"/>
      <c r="BJ72" s="129"/>
      <c r="BK72" s="129"/>
      <c r="BL72" s="129"/>
      <c r="BM72" s="129"/>
      <c r="BN72" s="129"/>
      <c r="BO72" s="129"/>
      <c r="BP72" s="129"/>
      <c r="BQ72" s="129"/>
      <c r="BR72" s="129"/>
      <c r="BS72" s="129"/>
      <c r="BT72" s="129"/>
      <c r="BU72" s="129"/>
      <c r="BV72" s="129"/>
      <c r="BW72" s="129"/>
      <c r="BX72" s="129"/>
      <c r="BY72" s="129"/>
      <c r="BZ72" s="129"/>
      <c r="CA72" s="129"/>
      <c r="CB72" s="129"/>
      <c r="CC72" s="129"/>
      <c r="CD72" s="129"/>
      <c r="CE72" s="519"/>
      <c r="CF72" s="519"/>
      <c r="CG72" s="519"/>
      <c r="CH72" s="519"/>
      <c r="CI72" s="519"/>
    </row>
    <row r="73" spans="21:87" ht="15.75" x14ac:dyDescent="0.25">
      <c r="U73" s="166"/>
      <c r="V73" s="166"/>
      <c r="W73" s="124"/>
      <c r="X73" s="124"/>
      <c r="Y73" s="123"/>
      <c r="Z73" s="129"/>
      <c r="AA73" s="129"/>
      <c r="AB73" s="129"/>
      <c r="AC73" s="129"/>
      <c r="AD73" s="129"/>
      <c r="AE73" s="129"/>
      <c r="AF73" s="129"/>
      <c r="AG73" s="129"/>
      <c r="AH73" s="129"/>
      <c r="AI73" s="129"/>
      <c r="AJ73" s="129"/>
      <c r="AK73" s="129"/>
      <c r="AL73" s="129"/>
      <c r="AM73" s="129"/>
      <c r="AN73" s="129"/>
      <c r="AO73" s="129"/>
      <c r="AP73" s="129"/>
      <c r="AQ73" s="129"/>
      <c r="AR73" s="129"/>
      <c r="AS73" s="129"/>
      <c r="AT73" s="129"/>
      <c r="AU73" s="129"/>
      <c r="AV73" s="129"/>
      <c r="AW73" s="129"/>
      <c r="AX73" s="129"/>
      <c r="AY73" s="129"/>
      <c r="AZ73" s="129"/>
      <c r="BA73" s="129"/>
      <c r="BB73" s="129"/>
      <c r="BC73" s="129"/>
      <c r="BD73" s="129"/>
      <c r="BE73" s="129"/>
      <c r="BF73" s="129"/>
      <c r="BG73" s="129"/>
      <c r="BH73" s="129"/>
      <c r="BI73" s="129"/>
      <c r="BJ73" s="129"/>
      <c r="BK73" s="129"/>
      <c r="BL73" s="129"/>
      <c r="BM73" s="129"/>
      <c r="BN73" s="129"/>
      <c r="BO73" s="129"/>
      <c r="BP73" s="129"/>
      <c r="BQ73" s="129"/>
      <c r="BR73" s="129"/>
      <c r="BS73" s="129"/>
      <c r="BT73" s="129"/>
      <c r="BU73" s="129"/>
      <c r="BV73" s="129"/>
      <c r="BW73" s="129"/>
      <c r="BX73" s="129"/>
      <c r="BY73" s="129"/>
      <c r="BZ73" s="129"/>
      <c r="CA73" s="129"/>
      <c r="CB73" s="129"/>
      <c r="CC73" s="129"/>
      <c r="CD73" s="129"/>
      <c r="CE73" s="60"/>
      <c r="CF73" s="60"/>
      <c r="CG73" s="60"/>
      <c r="CH73" s="60"/>
      <c r="CI73" s="60"/>
    </row>
    <row r="74" spans="21:87" ht="15.75" x14ac:dyDescent="0.25">
      <c r="U74" s="166"/>
      <c r="V74" s="166"/>
      <c r="W74" s="124"/>
      <c r="X74" s="124"/>
      <c r="Y74" s="123"/>
      <c r="Z74" s="129"/>
      <c r="AA74" s="129"/>
      <c r="AB74" s="129"/>
      <c r="AC74" s="129"/>
      <c r="AD74" s="129"/>
      <c r="AE74" s="129"/>
      <c r="AF74" s="129"/>
      <c r="AG74" s="129"/>
      <c r="AH74" s="129"/>
      <c r="AI74" s="129"/>
      <c r="AJ74" s="129"/>
      <c r="AK74" s="129"/>
      <c r="AL74" s="129"/>
      <c r="AM74" s="129"/>
      <c r="AN74" s="129"/>
      <c r="AO74" s="129"/>
      <c r="AP74" s="129"/>
      <c r="AQ74" s="129"/>
      <c r="AR74" s="129"/>
      <c r="AS74" s="129"/>
      <c r="AT74" s="129"/>
      <c r="AU74" s="129"/>
      <c r="AV74" s="129"/>
      <c r="AW74" s="129"/>
      <c r="AX74" s="129"/>
      <c r="AY74" s="129"/>
      <c r="AZ74" s="129"/>
      <c r="BA74" s="129"/>
      <c r="BB74" s="129"/>
      <c r="BC74" s="129"/>
      <c r="BD74" s="129"/>
      <c r="BE74" s="129"/>
      <c r="BF74" s="129"/>
      <c r="BG74" s="129"/>
      <c r="BH74" s="129"/>
      <c r="BI74" s="129"/>
      <c r="BJ74" s="129"/>
      <c r="BK74" s="129"/>
      <c r="BL74" s="129"/>
      <c r="BM74" s="129"/>
      <c r="BN74" s="129"/>
      <c r="BO74" s="129"/>
      <c r="BP74" s="129"/>
      <c r="BQ74" s="129"/>
      <c r="BR74" s="129"/>
      <c r="BS74" s="129"/>
      <c r="BT74" s="129"/>
      <c r="BU74" s="129"/>
      <c r="BV74" s="129"/>
      <c r="BW74" s="129"/>
      <c r="BX74" s="129"/>
      <c r="BY74" s="129"/>
      <c r="BZ74" s="129"/>
      <c r="CA74" s="129"/>
      <c r="CB74" s="129"/>
      <c r="CC74" s="129"/>
      <c r="CD74" s="129"/>
      <c r="CE74" s="519"/>
      <c r="CF74" s="519"/>
      <c r="CG74" s="519"/>
      <c r="CH74" s="519"/>
      <c r="CI74" s="519"/>
    </row>
    <row r="75" spans="21:87" ht="15.75" x14ac:dyDescent="0.25">
      <c r="U75" s="166"/>
      <c r="V75" s="166"/>
      <c r="W75" s="124"/>
      <c r="X75" s="124"/>
      <c r="Y75" s="124"/>
      <c r="Z75" s="129"/>
      <c r="AA75" s="129"/>
      <c r="AB75" s="129"/>
      <c r="AC75" s="129"/>
      <c r="AD75" s="129"/>
      <c r="AE75" s="129"/>
      <c r="AF75" s="129"/>
      <c r="AG75" s="129"/>
      <c r="AH75" s="129"/>
      <c r="AI75" s="129"/>
      <c r="AJ75" s="129"/>
      <c r="AK75" s="129"/>
      <c r="AL75" s="129"/>
      <c r="AM75" s="129"/>
      <c r="AN75" s="129"/>
      <c r="AO75" s="129"/>
      <c r="AP75" s="129"/>
      <c r="AQ75" s="129"/>
      <c r="AR75" s="129"/>
      <c r="AS75" s="129"/>
      <c r="AT75" s="129"/>
      <c r="AU75" s="129"/>
      <c r="AV75" s="129"/>
      <c r="AW75" s="129"/>
      <c r="AX75" s="129"/>
      <c r="AY75" s="129"/>
      <c r="AZ75" s="129"/>
      <c r="BA75" s="129"/>
      <c r="BB75" s="129"/>
      <c r="BC75" s="129"/>
      <c r="BD75" s="129"/>
      <c r="BE75" s="129"/>
      <c r="BF75" s="129"/>
      <c r="BG75" s="129"/>
      <c r="BH75" s="129"/>
      <c r="BI75" s="129"/>
      <c r="BJ75" s="129"/>
      <c r="BK75" s="129"/>
      <c r="BL75" s="129"/>
      <c r="BM75" s="129"/>
      <c r="BN75" s="129"/>
      <c r="BO75" s="129"/>
      <c r="BP75" s="129"/>
      <c r="BQ75" s="129"/>
      <c r="BR75" s="129"/>
      <c r="BS75" s="129"/>
      <c r="BT75" s="129"/>
      <c r="BU75" s="129"/>
      <c r="BV75" s="129"/>
      <c r="BW75" s="129"/>
      <c r="BX75" s="129"/>
      <c r="BY75" s="129"/>
      <c r="BZ75" s="129"/>
      <c r="CA75" s="129"/>
      <c r="CB75" s="129"/>
      <c r="CC75" s="129"/>
      <c r="CD75" s="129"/>
      <c r="CE75" s="519"/>
      <c r="CF75" s="519"/>
      <c r="CG75" s="519"/>
      <c r="CH75" s="519"/>
      <c r="CI75" s="519"/>
    </row>
    <row r="76" spans="21:87" ht="15.75" x14ac:dyDescent="0.25">
      <c r="U76" s="166"/>
      <c r="V76" s="166"/>
      <c r="W76" s="124"/>
      <c r="X76" s="124"/>
      <c r="Y76" s="124"/>
      <c r="Z76" s="129"/>
      <c r="AA76" s="129"/>
      <c r="AB76" s="129"/>
      <c r="AC76" s="129"/>
      <c r="AD76" s="129"/>
      <c r="AE76" s="129"/>
      <c r="AF76" s="129"/>
      <c r="AG76" s="129"/>
      <c r="AH76" s="129"/>
      <c r="AI76" s="129"/>
      <c r="AJ76" s="129"/>
      <c r="AK76" s="129"/>
      <c r="AL76" s="129"/>
      <c r="AM76" s="129"/>
      <c r="AN76" s="129"/>
      <c r="AO76" s="129"/>
      <c r="AP76" s="129"/>
      <c r="AQ76" s="129"/>
      <c r="AR76" s="129"/>
      <c r="AS76" s="129"/>
      <c r="AT76" s="129"/>
      <c r="AU76" s="129"/>
      <c r="AV76" s="129"/>
      <c r="AW76" s="129"/>
      <c r="AX76" s="129"/>
      <c r="AY76" s="129"/>
      <c r="AZ76" s="129"/>
      <c r="BA76" s="129"/>
      <c r="BB76" s="129"/>
      <c r="BC76" s="129"/>
      <c r="BD76" s="129"/>
      <c r="BE76" s="129"/>
      <c r="BF76" s="129"/>
      <c r="BG76" s="129"/>
      <c r="BH76" s="129"/>
      <c r="BI76" s="129"/>
      <c r="BJ76" s="129"/>
      <c r="BK76" s="129"/>
      <c r="BL76" s="129"/>
      <c r="BM76" s="129"/>
      <c r="BN76" s="129"/>
      <c r="BO76" s="129"/>
      <c r="BP76" s="129"/>
      <c r="BQ76" s="129"/>
      <c r="BR76" s="129"/>
      <c r="BS76" s="129"/>
      <c r="BT76" s="129"/>
      <c r="BU76" s="129"/>
      <c r="BV76" s="129"/>
      <c r="BW76" s="129"/>
      <c r="BX76" s="129"/>
      <c r="BY76" s="129"/>
      <c r="BZ76" s="129"/>
      <c r="CA76" s="129"/>
      <c r="CB76" s="129"/>
      <c r="CC76" s="129"/>
      <c r="CD76" s="129"/>
      <c r="CE76" s="519"/>
      <c r="CF76" s="519"/>
      <c r="CG76" s="519"/>
      <c r="CH76" s="519"/>
      <c r="CI76" s="519"/>
    </row>
    <row r="77" spans="21:87" ht="15.75" x14ac:dyDescent="0.25">
      <c r="U77" s="166"/>
      <c r="V77" s="166"/>
      <c r="W77" s="124"/>
      <c r="X77" s="124"/>
      <c r="Y77" s="124"/>
      <c r="Z77" s="129"/>
      <c r="AA77" s="129"/>
      <c r="AB77" s="129"/>
      <c r="AC77" s="129"/>
      <c r="AD77" s="129"/>
      <c r="AE77" s="129"/>
      <c r="AF77" s="129"/>
      <c r="AG77" s="129"/>
      <c r="AH77" s="129"/>
      <c r="AI77" s="129"/>
      <c r="AJ77" s="129"/>
      <c r="AK77" s="129"/>
      <c r="AL77" s="129"/>
      <c r="AM77" s="129"/>
      <c r="AN77" s="129"/>
      <c r="AO77" s="129"/>
      <c r="AP77" s="129"/>
      <c r="AQ77" s="129"/>
      <c r="AR77" s="129"/>
      <c r="AS77" s="129"/>
      <c r="AT77" s="129"/>
      <c r="AU77" s="129"/>
      <c r="AV77" s="129"/>
      <c r="AW77" s="129"/>
      <c r="AX77" s="129"/>
      <c r="AY77" s="129"/>
      <c r="AZ77" s="129"/>
      <c r="BA77" s="129"/>
      <c r="BB77" s="129"/>
      <c r="BC77" s="129"/>
      <c r="BD77" s="129"/>
      <c r="BE77" s="129"/>
      <c r="BF77" s="129"/>
      <c r="BG77" s="129"/>
      <c r="BH77" s="129"/>
      <c r="BI77" s="129"/>
      <c r="BJ77" s="129"/>
      <c r="BK77" s="129"/>
      <c r="BL77" s="129"/>
      <c r="BM77" s="129"/>
      <c r="BN77" s="129"/>
      <c r="BO77" s="129"/>
      <c r="BP77" s="129"/>
      <c r="BQ77" s="129"/>
      <c r="BR77" s="129"/>
      <c r="BS77" s="129"/>
      <c r="BT77" s="129"/>
      <c r="BU77" s="129"/>
      <c r="BV77" s="129"/>
      <c r="BW77" s="129"/>
      <c r="BX77" s="129"/>
      <c r="BY77" s="129"/>
      <c r="BZ77" s="129"/>
      <c r="CA77" s="129"/>
      <c r="CB77" s="129"/>
      <c r="CC77" s="129"/>
      <c r="CD77" s="129"/>
      <c r="CE77" s="519"/>
      <c r="CF77" s="519"/>
      <c r="CG77" s="519"/>
      <c r="CH77" s="519"/>
      <c r="CI77" s="519"/>
    </row>
    <row r="78" spans="21:87" ht="15.75" x14ac:dyDescent="0.25">
      <c r="U78" s="166"/>
      <c r="V78" s="166"/>
      <c r="W78" s="124"/>
      <c r="X78" s="124"/>
      <c r="Y78" s="124"/>
      <c r="Z78" s="129"/>
      <c r="AA78" s="129"/>
      <c r="AB78" s="129"/>
      <c r="AC78" s="129"/>
      <c r="AD78" s="129"/>
      <c r="AE78" s="129"/>
      <c r="AF78" s="129"/>
      <c r="AG78" s="129"/>
      <c r="AH78" s="129"/>
      <c r="AI78" s="129"/>
      <c r="AJ78" s="129"/>
      <c r="AK78" s="129"/>
      <c r="AL78" s="129"/>
      <c r="AM78" s="129"/>
      <c r="AN78" s="129"/>
      <c r="AO78" s="129"/>
      <c r="AP78" s="129"/>
      <c r="AQ78" s="129"/>
      <c r="AR78" s="129"/>
      <c r="AS78" s="129"/>
      <c r="AT78" s="129"/>
      <c r="AU78" s="129"/>
      <c r="AV78" s="129"/>
      <c r="AW78" s="129"/>
      <c r="AX78" s="129"/>
      <c r="AY78" s="129"/>
      <c r="AZ78" s="129"/>
      <c r="BA78" s="129"/>
      <c r="BB78" s="129"/>
      <c r="BC78" s="129"/>
      <c r="BD78" s="129"/>
      <c r="BE78" s="129"/>
      <c r="BF78" s="129"/>
      <c r="BG78" s="129"/>
      <c r="BH78" s="129"/>
      <c r="BI78" s="129"/>
      <c r="BJ78" s="129"/>
      <c r="BK78" s="129"/>
      <c r="BL78" s="129"/>
      <c r="BM78" s="129"/>
      <c r="BN78" s="129"/>
      <c r="BO78" s="129"/>
      <c r="BP78" s="129"/>
      <c r="BQ78" s="129"/>
      <c r="BR78" s="129"/>
      <c r="BS78" s="129"/>
      <c r="BT78" s="129"/>
      <c r="BU78" s="129"/>
      <c r="BV78" s="129"/>
      <c r="BW78" s="129"/>
      <c r="BX78" s="129"/>
      <c r="BY78" s="129"/>
      <c r="BZ78" s="129"/>
      <c r="CA78" s="129"/>
      <c r="CB78" s="129"/>
      <c r="CC78" s="129"/>
      <c r="CD78" s="129"/>
      <c r="CE78" s="519"/>
      <c r="CF78" s="519"/>
      <c r="CG78" s="519"/>
      <c r="CH78" s="519"/>
      <c r="CI78" s="519"/>
    </row>
    <row r="79" spans="21:87" ht="15.75" x14ac:dyDescent="0.25">
      <c r="U79" s="149"/>
      <c r="V79" s="149"/>
      <c r="W79" s="124"/>
      <c r="X79" s="124"/>
      <c r="Y79" s="124"/>
      <c r="Z79" s="129"/>
      <c r="AA79" s="129"/>
      <c r="AB79" s="129"/>
      <c r="AC79" s="129"/>
      <c r="AD79" s="129"/>
      <c r="AE79" s="129"/>
      <c r="AF79" s="129"/>
      <c r="AG79" s="129"/>
      <c r="AH79" s="129"/>
      <c r="AI79" s="129"/>
      <c r="AJ79" s="129"/>
      <c r="AK79" s="129"/>
      <c r="AL79" s="129"/>
      <c r="AM79" s="129"/>
      <c r="AN79" s="129"/>
      <c r="AO79" s="129"/>
      <c r="AP79" s="129"/>
      <c r="AQ79" s="129"/>
      <c r="AR79" s="129"/>
      <c r="AS79" s="129"/>
      <c r="AT79" s="129"/>
      <c r="AU79" s="129"/>
      <c r="AV79" s="129"/>
      <c r="AW79" s="129"/>
      <c r="AX79" s="129"/>
      <c r="AY79" s="129"/>
      <c r="AZ79" s="129"/>
      <c r="BA79" s="129"/>
      <c r="BB79" s="129"/>
      <c r="BC79" s="129"/>
      <c r="BD79" s="129"/>
      <c r="BE79" s="129"/>
      <c r="BF79" s="129"/>
      <c r="BG79" s="129"/>
      <c r="BH79" s="129"/>
      <c r="BI79" s="129"/>
      <c r="BJ79" s="129"/>
      <c r="BK79" s="129"/>
      <c r="BL79" s="129"/>
      <c r="BM79" s="129"/>
      <c r="BN79" s="129"/>
      <c r="BO79" s="129"/>
      <c r="BP79" s="129"/>
      <c r="BQ79" s="129"/>
      <c r="BR79" s="129"/>
      <c r="BS79" s="129"/>
      <c r="BT79" s="129"/>
      <c r="BU79" s="129"/>
      <c r="BV79" s="129"/>
      <c r="BW79" s="129"/>
      <c r="BX79" s="129"/>
      <c r="BY79" s="129"/>
      <c r="BZ79" s="129"/>
      <c r="CA79" s="129"/>
      <c r="CB79" s="129"/>
      <c r="CC79" s="129"/>
      <c r="CD79" s="129"/>
      <c r="CE79" s="519"/>
      <c r="CF79" s="519"/>
      <c r="CG79" s="519"/>
      <c r="CH79" s="519"/>
      <c r="CI79" s="519"/>
    </row>
    <row r="80" spans="21:87" ht="15.75" x14ac:dyDescent="0.25">
      <c r="U80" s="149"/>
      <c r="V80" s="149"/>
      <c r="W80" s="124"/>
      <c r="X80" s="124"/>
      <c r="Y80" s="124"/>
      <c r="Z80" s="129"/>
      <c r="AA80" s="129"/>
      <c r="AB80" s="129"/>
      <c r="AC80" s="129"/>
      <c r="AD80" s="129"/>
      <c r="AE80" s="129"/>
      <c r="AF80" s="129"/>
      <c r="AG80" s="129"/>
      <c r="AH80" s="129"/>
      <c r="AI80" s="129"/>
      <c r="AJ80" s="129"/>
      <c r="AK80" s="129"/>
      <c r="AL80" s="129"/>
      <c r="AM80" s="129"/>
      <c r="AN80" s="129"/>
      <c r="AO80" s="129"/>
      <c r="AP80" s="129"/>
      <c r="AQ80" s="129"/>
      <c r="AR80" s="129"/>
      <c r="AS80" s="129"/>
      <c r="AT80" s="129"/>
      <c r="AU80" s="129"/>
      <c r="AV80" s="129"/>
      <c r="AW80" s="129"/>
      <c r="AX80" s="129"/>
      <c r="AY80" s="129"/>
      <c r="AZ80" s="129"/>
      <c r="BA80" s="129"/>
      <c r="BB80" s="129"/>
      <c r="BC80" s="129"/>
      <c r="BD80" s="129"/>
      <c r="BE80" s="129"/>
      <c r="BF80" s="129"/>
      <c r="BG80" s="129"/>
      <c r="BH80" s="129"/>
      <c r="BI80" s="129"/>
      <c r="BJ80" s="129"/>
      <c r="BK80" s="129"/>
      <c r="BL80" s="129"/>
      <c r="BM80" s="129"/>
      <c r="BN80" s="129"/>
      <c r="BO80" s="129"/>
      <c r="BP80" s="129"/>
      <c r="BQ80" s="129"/>
      <c r="BR80" s="129"/>
      <c r="BS80" s="129"/>
      <c r="BT80" s="129"/>
      <c r="BU80" s="129"/>
      <c r="BV80" s="129"/>
      <c r="BW80" s="129"/>
      <c r="BX80" s="129"/>
      <c r="BY80" s="129"/>
      <c r="BZ80" s="129"/>
      <c r="CA80" s="129"/>
      <c r="CB80" s="129"/>
      <c r="CC80" s="129"/>
      <c r="CD80" s="129"/>
      <c r="CE80" s="519"/>
      <c r="CF80" s="519"/>
      <c r="CG80" s="519"/>
      <c r="CH80" s="519"/>
      <c r="CI80" s="519"/>
    </row>
    <row r="81" spans="21:87" ht="15.75" x14ac:dyDescent="0.25">
      <c r="U81" s="149"/>
      <c r="V81" s="149"/>
      <c r="W81" s="124"/>
      <c r="X81" s="124"/>
      <c r="Y81" s="123"/>
      <c r="Z81" s="129"/>
      <c r="AA81" s="129"/>
      <c r="AB81" s="129"/>
      <c r="AC81" s="129"/>
      <c r="AD81" s="129"/>
      <c r="AE81" s="129"/>
      <c r="AF81" s="129"/>
      <c r="AG81" s="129"/>
      <c r="AH81" s="129"/>
      <c r="AI81" s="129"/>
      <c r="AJ81" s="129"/>
      <c r="AK81" s="129"/>
      <c r="AL81" s="129"/>
      <c r="AM81" s="129"/>
      <c r="AN81" s="129"/>
      <c r="AO81" s="129"/>
      <c r="AP81" s="129"/>
      <c r="AQ81" s="129"/>
      <c r="AR81" s="129"/>
      <c r="AS81" s="129"/>
      <c r="AT81" s="129"/>
      <c r="AU81" s="129"/>
      <c r="AV81" s="129"/>
      <c r="AW81" s="129"/>
      <c r="AX81" s="129"/>
      <c r="AY81" s="129"/>
      <c r="AZ81" s="129"/>
      <c r="BA81" s="129"/>
      <c r="BB81" s="129"/>
      <c r="BC81" s="129"/>
      <c r="BD81" s="129"/>
      <c r="BE81" s="129"/>
      <c r="BF81" s="129"/>
      <c r="BG81" s="129"/>
      <c r="BH81" s="129"/>
      <c r="BI81" s="129"/>
      <c r="BJ81" s="129"/>
      <c r="BK81" s="129"/>
      <c r="BL81" s="129"/>
      <c r="BM81" s="129"/>
      <c r="BN81" s="129"/>
      <c r="BO81" s="129"/>
      <c r="BP81" s="129"/>
      <c r="BQ81" s="129"/>
      <c r="BR81" s="129"/>
      <c r="BS81" s="129"/>
      <c r="BT81" s="129"/>
      <c r="BU81" s="129"/>
      <c r="BV81" s="129"/>
      <c r="BW81" s="129"/>
      <c r="BX81" s="129"/>
      <c r="BY81" s="129"/>
      <c r="BZ81" s="129"/>
      <c r="CA81" s="129"/>
      <c r="CB81" s="129"/>
      <c r="CC81" s="129"/>
      <c r="CD81" s="129"/>
      <c r="CE81" s="519"/>
      <c r="CF81" s="519"/>
      <c r="CG81" s="519"/>
      <c r="CH81" s="519"/>
      <c r="CI81" s="519"/>
    </row>
    <row r="82" spans="21:87" ht="15.75" x14ac:dyDescent="0.25">
      <c r="U82" s="149"/>
      <c r="V82" s="149"/>
      <c r="W82" s="124"/>
      <c r="X82" s="124"/>
      <c r="Y82" s="123"/>
      <c r="Z82" s="129"/>
      <c r="AA82" s="129"/>
      <c r="AB82" s="129"/>
      <c r="AC82" s="129"/>
      <c r="AD82" s="129"/>
      <c r="AE82" s="129"/>
      <c r="AF82" s="129"/>
      <c r="AG82" s="129"/>
      <c r="AH82" s="129"/>
      <c r="AI82" s="129"/>
      <c r="AJ82" s="129"/>
      <c r="AK82" s="129"/>
      <c r="AL82" s="129"/>
      <c r="AM82" s="129"/>
      <c r="AN82" s="129"/>
      <c r="AO82" s="129"/>
      <c r="AP82" s="129"/>
      <c r="AQ82" s="129"/>
      <c r="AR82" s="129"/>
      <c r="AS82" s="129"/>
      <c r="AT82" s="129"/>
      <c r="AU82" s="129"/>
      <c r="AV82" s="129"/>
      <c r="AW82" s="129"/>
      <c r="AX82" s="129"/>
      <c r="AY82" s="129"/>
      <c r="AZ82" s="129"/>
      <c r="BA82" s="129"/>
      <c r="BB82" s="129"/>
      <c r="BC82" s="129"/>
      <c r="BD82" s="129"/>
      <c r="BE82" s="129"/>
      <c r="BF82" s="129"/>
      <c r="BG82" s="129"/>
      <c r="BH82" s="129"/>
      <c r="BI82" s="129"/>
      <c r="BJ82" s="129"/>
      <c r="BK82" s="129"/>
      <c r="BL82" s="129"/>
      <c r="BM82" s="129"/>
      <c r="BN82" s="129"/>
      <c r="BO82" s="129"/>
      <c r="BP82" s="129"/>
      <c r="BQ82" s="129"/>
      <c r="BR82" s="129"/>
      <c r="BS82" s="129"/>
      <c r="BT82" s="129"/>
      <c r="BU82" s="129"/>
      <c r="BV82" s="129"/>
      <c r="BW82" s="129"/>
      <c r="BX82" s="129"/>
      <c r="BY82" s="129"/>
      <c r="BZ82" s="129"/>
      <c r="CA82" s="129"/>
      <c r="CB82" s="129"/>
      <c r="CC82" s="129"/>
      <c r="CD82" s="129"/>
      <c r="CE82" s="519"/>
      <c r="CF82" s="519"/>
      <c r="CG82" s="519"/>
      <c r="CH82" s="519"/>
      <c r="CI82" s="519"/>
    </row>
    <row r="83" spans="21:87" ht="15.75" x14ac:dyDescent="0.25">
      <c r="U83" s="149"/>
      <c r="V83" s="149"/>
      <c r="W83" s="124"/>
      <c r="X83" s="124"/>
      <c r="Y83" s="123"/>
      <c r="Z83" s="129"/>
      <c r="AA83" s="129"/>
      <c r="AB83" s="129"/>
      <c r="AC83" s="129"/>
      <c r="AD83" s="129"/>
      <c r="AE83" s="129"/>
      <c r="AF83" s="129"/>
      <c r="AG83" s="129"/>
      <c r="AH83" s="129"/>
      <c r="AI83" s="129"/>
      <c r="AJ83" s="129"/>
      <c r="AK83" s="129"/>
      <c r="AL83" s="129"/>
      <c r="AM83" s="129"/>
      <c r="AN83" s="129"/>
      <c r="AO83" s="129"/>
      <c r="AP83" s="129"/>
      <c r="AQ83" s="129"/>
      <c r="AR83" s="129"/>
      <c r="AS83" s="129"/>
      <c r="AT83" s="129"/>
      <c r="AU83" s="129"/>
      <c r="AV83" s="129"/>
      <c r="AW83" s="129"/>
      <c r="AX83" s="129"/>
      <c r="AY83" s="129"/>
      <c r="AZ83" s="129"/>
      <c r="BA83" s="129"/>
      <c r="BB83" s="129"/>
      <c r="BC83" s="129"/>
      <c r="BD83" s="129"/>
      <c r="BE83" s="129"/>
      <c r="BF83" s="129"/>
      <c r="BG83" s="129"/>
      <c r="BH83" s="129"/>
      <c r="BI83" s="129"/>
      <c r="BJ83" s="129"/>
      <c r="BK83" s="129"/>
      <c r="BL83" s="129"/>
      <c r="BM83" s="129"/>
      <c r="BN83" s="129"/>
      <c r="BO83" s="129"/>
      <c r="BP83" s="129"/>
      <c r="BQ83" s="129"/>
      <c r="BR83" s="129"/>
      <c r="BS83" s="129"/>
      <c r="BT83" s="129"/>
      <c r="BU83" s="129"/>
      <c r="BV83" s="129"/>
      <c r="BW83" s="129"/>
      <c r="BX83" s="129"/>
      <c r="BY83" s="129"/>
      <c r="BZ83" s="129"/>
      <c r="CA83" s="129"/>
      <c r="CB83" s="129"/>
      <c r="CC83" s="129"/>
      <c r="CD83" s="129"/>
      <c r="CE83" s="519"/>
      <c r="CF83" s="519"/>
      <c r="CG83" s="519"/>
      <c r="CH83" s="519"/>
      <c r="CI83" s="519"/>
    </row>
    <row r="84" spans="21:87" ht="15.75" x14ac:dyDescent="0.25">
      <c r="U84" s="166"/>
      <c r="V84" s="166"/>
      <c r="W84" s="124"/>
      <c r="X84" s="124"/>
      <c r="Y84" s="123"/>
      <c r="Z84" s="129"/>
      <c r="AA84" s="129"/>
      <c r="AB84" s="129"/>
      <c r="AC84" s="129"/>
      <c r="AD84" s="129"/>
      <c r="AE84" s="129"/>
      <c r="AF84" s="129"/>
      <c r="AG84" s="129"/>
      <c r="AH84" s="129"/>
      <c r="AI84" s="129"/>
      <c r="AJ84" s="129"/>
      <c r="AK84" s="129"/>
      <c r="AL84" s="129"/>
      <c r="AM84" s="129"/>
      <c r="AN84" s="129"/>
      <c r="AO84" s="129"/>
      <c r="AP84" s="129"/>
      <c r="AQ84" s="129"/>
      <c r="AR84" s="129"/>
      <c r="AS84" s="129"/>
      <c r="AT84" s="129"/>
      <c r="AU84" s="129"/>
      <c r="AV84" s="129"/>
      <c r="AW84" s="129"/>
      <c r="AX84" s="129"/>
      <c r="AY84" s="129"/>
      <c r="AZ84" s="129"/>
      <c r="BA84" s="129"/>
      <c r="BB84" s="129"/>
      <c r="BC84" s="129"/>
      <c r="BD84" s="129"/>
      <c r="BE84" s="129"/>
      <c r="BF84" s="129"/>
      <c r="BG84" s="129"/>
      <c r="BH84" s="129"/>
      <c r="BI84" s="129"/>
      <c r="BJ84" s="129"/>
      <c r="BK84" s="129"/>
      <c r="BL84" s="129"/>
      <c r="BM84" s="129"/>
      <c r="BN84" s="129"/>
      <c r="BO84" s="129"/>
      <c r="BP84" s="129"/>
      <c r="BQ84" s="129"/>
      <c r="BR84" s="129"/>
      <c r="BS84" s="129"/>
      <c r="BT84" s="129"/>
      <c r="BU84" s="129"/>
      <c r="BV84" s="129"/>
      <c r="BW84" s="129"/>
      <c r="BX84" s="129"/>
      <c r="BY84" s="129"/>
      <c r="BZ84" s="129"/>
      <c r="CA84" s="129"/>
      <c r="CB84" s="129"/>
      <c r="CC84" s="129"/>
      <c r="CD84" s="129"/>
      <c r="CE84" s="519"/>
      <c r="CF84" s="519"/>
      <c r="CG84" s="519"/>
      <c r="CH84" s="519"/>
      <c r="CI84" s="519"/>
    </row>
    <row r="85" spans="21:87" ht="15.75" x14ac:dyDescent="0.25">
      <c r="U85" s="15"/>
      <c r="V85" s="15"/>
      <c r="W85" s="124"/>
      <c r="X85" s="124"/>
      <c r="Y85" s="123"/>
      <c r="Z85" s="129"/>
      <c r="AA85" s="129"/>
      <c r="AB85" s="129"/>
      <c r="AC85" s="129"/>
      <c r="AD85" s="129"/>
      <c r="AE85" s="129"/>
      <c r="AF85" s="129"/>
      <c r="AG85" s="129"/>
      <c r="AH85" s="129"/>
      <c r="AI85" s="129"/>
      <c r="AJ85" s="129"/>
      <c r="AK85" s="129"/>
      <c r="AL85" s="129"/>
      <c r="AM85" s="129"/>
      <c r="AN85" s="129"/>
      <c r="AO85" s="129"/>
      <c r="AP85" s="129"/>
      <c r="AQ85" s="129"/>
      <c r="AR85" s="129"/>
      <c r="AS85" s="129"/>
      <c r="AT85" s="129"/>
      <c r="AU85" s="129"/>
      <c r="AV85" s="129"/>
      <c r="AW85" s="129"/>
      <c r="AX85" s="129"/>
      <c r="AY85" s="129"/>
      <c r="AZ85" s="129"/>
      <c r="BA85" s="129"/>
      <c r="BB85" s="129"/>
      <c r="BC85" s="129"/>
      <c r="BD85" s="129"/>
      <c r="BE85" s="129"/>
      <c r="BF85" s="129"/>
      <c r="BG85" s="129"/>
      <c r="BH85" s="129"/>
      <c r="BI85" s="129"/>
      <c r="BJ85" s="129"/>
      <c r="BK85" s="129"/>
      <c r="BL85" s="129"/>
      <c r="BM85" s="129"/>
      <c r="BN85" s="129"/>
      <c r="BO85" s="129"/>
      <c r="BP85" s="129"/>
      <c r="BQ85" s="129"/>
      <c r="BR85" s="129"/>
      <c r="BS85" s="129"/>
      <c r="BT85" s="129"/>
      <c r="BU85" s="129"/>
      <c r="BV85" s="129"/>
      <c r="BW85" s="129"/>
      <c r="BX85" s="129"/>
      <c r="BY85" s="129"/>
      <c r="BZ85" s="129"/>
      <c r="CA85" s="129"/>
      <c r="CB85" s="129"/>
      <c r="CC85" s="129"/>
      <c r="CD85" s="129"/>
      <c r="CE85" s="519"/>
      <c r="CF85" s="519"/>
      <c r="CG85" s="519"/>
      <c r="CH85" s="519"/>
      <c r="CI85" s="519"/>
    </row>
    <row r="86" spans="21:87" ht="15.75" x14ac:dyDescent="0.25">
      <c r="U86" s="15"/>
      <c r="V86" s="15"/>
      <c r="W86" s="124"/>
      <c r="X86" s="124"/>
      <c r="Y86" s="124"/>
      <c r="Z86" s="240"/>
      <c r="AA86" s="240"/>
      <c r="AB86" s="240"/>
      <c r="AC86" s="240"/>
      <c r="AD86" s="240"/>
      <c r="AE86" s="240"/>
      <c r="AF86" s="240"/>
      <c r="AG86" s="240"/>
      <c r="AH86" s="240"/>
      <c r="AI86" s="240"/>
      <c r="AJ86" s="240"/>
      <c r="AK86" s="240"/>
      <c r="AL86" s="240"/>
      <c r="AM86" s="240"/>
      <c r="AN86" s="240"/>
      <c r="AO86" s="240"/>
      <c r="AP86" s="240"/>
      <c r="AQ86" s="240"/>
      <c r="AR86" s="240"/>
      <c r="AS86" s="240"/>
      <c r="AT86" s="240"/>
      <c r="AU86" s="240"/>
      <c r="AV86" s="240"/>
      <c r="AW86" s="240"/>
      <c r="AX86" s="240"/>
      <c r="AY86" s="240"/>
      <c r="AZ86" s="240"/>
      <c r="BA86" s="240"/>
      <c r="BB86" s="240"/>
      <c r="BC86" s="240"/>
      <c r="BD86" s="240"/>
      <c r="BE86" s="240"/>
      <c r="BF86" s="240"/>
      <c r="BG86" s="240"/>
      <c r="BH86" s="240"/>
      <c r="BI86" s="240"/>
      <c r="BJ86" s="240"/>
      <c r="BK86" s="240"/>
      <c r="BL86" s="240"/>
      <c r="BM86" s="240"/>
      <c r="BN86" s="240"/>
      <c r="BO86" s="240"/>
      <c r="BP86" s="240"/>
      <c r="BQ86" s="240"/>
      <c r="BR86" s="240"/>
      <c r="BS86" s="240"/>
      <c r="BT86" s="240"/>
      <c r="BU86" s="240"/>
      <c r="BV86" s="240"/>
      <c r="BW86" s="240"/>
      <c r="BX86" s="240"/>
      <c r="BY86" s="240"/>
      <c r="BZ86" s="240"/>
      <c r="CA86" s="240"/>
      <c r="CB86" s="240"/>
      <c r="CC86" s="240"/>
      <c r="CD86" s="240"/>
      <c r="CE86" s="519"/>
      <c r="CF86" s="519"/>
      <c r="CG86" s="519"/>
      <c r="CH86" s="519"/>
      <c r="CI86" s="519"/>
    </row>
    <row r="87" spans="21:87" ht="15.75" x14ac:dyDescent="0.25">
      <c r="U87" s="15"/>
      <c r="V87" s="15"/>
      <c r="W87" s="124"/>
      <c r="X87" s="124"/>
      <c r="Y87" s="123"/>
      <c r="Z87" s="129"/>
      <c r="AA87" s="129"/>
      <c r="AB87" s="129"/>
      <c r="AC87" s="129"/>
      <c r="AD87" s="129"/>
      <c r="AE87" s="129"/>
      <c r="AF87" s="129"/>
      <c r="AG87" s="129"/>
      <c r="AH87" s="129"/>
      <c r="AI87" s="129"/>
      <c r="AJ87" s="129"/>
      <c r="AK87" s="129"/>
      <c r="AL87" s="129"/>
      <c r="AM87" s="129"/>
      <c r="AN87" s="129"/>
      <c r="AO87" s="129"/>
      <c r="AP87" s="129"/>
      <c r="AQ87" s="129"/>
      <c r="AR87" s="129"/>
      <c r="AS87" s="129"/>
      <c r="AT87" s="129"/>
      <c r="AU87" s="129"/>
      <c r="AV87" s="129"/>
      <c r="AW87" s="129"/>
      <c r="AX87" s="129"/>
      <c r="AY87" s="129"/>
      <c r="AZ87" s="129"/>
      <c r="BA87" s="129"/>
      <c r="BB87" s="129"/>
      <c r="BC87" s="129"/>
      <c r="BD87" s="129"/>
      <c r="BE87" s="129"/>
      <c r="BF87" s="129"/>
      <c r="BG87" s="129"/>
      <c r="BH87" s="129"/>
      <c r="BI87" s="129"/>
      <c r="BJ87" s="129"/>
      <c r="BK87" s="129"/>
      <c r="BL87" s="129"/>
      <c r="BM87" s="129"/>
      <c r="BN87" s="129"/>
      <c r="BO87" s="129"/>
      <c r="BP87" s="129"/>
      <c r="BQ87" s="129"/>
      <c r="BR87" s="129"/>
      <c r="BS87" s="129"/>
      <c r="BT87" s="129"/>
      <c r="BU87" s="129"/>
      <c r="BV87" s="129"/>
      <c r="BW87" s="129"/>
      <c r="BX87" s="129"/>
      <c r="BY87" s="129"/>
      <c r="BZ87" s="129"/>
      <c r="CA87" s="129"/>
      <c r="CB87" s="129"/>
      <c r="CC87" s="129"/>
      <c r="CD87" s="129"/>
    </row>
    <row r="88" spans="21:87" ht="15.75" x14ac:dyDescent="0.25">
      <c r="U88" s="166"/>
      <c r="V88" s="166"/>
      <c r="Z88" s="520"/>
      <c r="AA88" s="520"/>
      <c r="AB88" s="520"/>
      <c r="AC88" s="520"/>
      <c r="AD88" s="520"/>
      <c r="AE88" s="520"/>
      <c r="AF88" s="520"/>
      <c r="AG88" s="520"/>
      <c r="AH88" s="520"/>
      <c r="AI88" s="520"/>
      <c r="AJ88" s="520"/>
      <c r="AK88" s="520"/>
      <c r="AL88" s="520"/>
      <c r="AM88" s="520"/>
      <c r="AN88" s="520"/>
      <c r="AO88" s="520"/>
      <c r="AP88" s="520"/>
      <c r="AQ88" s="520"/>
      <c r="AR88" s="520"/>
      <c r="AS88" s="520"/>
      <c r="AT88" s="520"/>
      <c r="AU88" s="520"/>
      <c r="AV88" s="520"/>
      <c r="AW88" s="520"/>
      <c r="AX88" s="520"/>
      <c r="AY88" s="520"/>
      <c r="AZ88" s="520"/>
      <c r="BA88" s="520"/>
      <c r="BB88" s="520"/>
      <c r="BC88" s="520"/>
      <c r="BD88" s="520"/>
      <c r="BE88" s="520"/>
      <c r="BF88" s="520"/>
      <c r="BG88" s="520"/>
      <c r="BH88" s="520"/>
      <c r="BI88" s="520"/>
      <c r="BJ88" s="520"/>
      <c r="BK88" s="520"/>
      <c r="BL88" s="520"/>
      <c r="BM88" s="520"/>
      <c r="BN88" s="520"/>
      <c r="BO88" s="520"/>
      <c r="BP88" s="520"/>
      <c r="BQ88" s="520"/>
      <c r="BR88" s="520"/>
      <c r="BS88" s="520"/>
      <c r="BT88" s="520"/>
      <c r="BU88" s="520"/>
      <c r="BV88" s="520"/>
      <c r="BW88" s="520"/>
      <c r="BX88" s="520"/>
      <c r="BY88" s="520"/>
      <c r="BZ88" s="520"/>
      <c r="CA88" s="520"/>
      <c r="CB88" s="520"/>
      <c r="CC88" s="520"/>
      <c r="CD88" s="520"/>
    </row>
    <row r="89" spans="21:87" ht="15.75" x14ac:dyDescent="0.25">
      <c r="U89" s="166"/>
      <c r="V89" s="166"/>
      <c r="Z89" s="520"/>
      <c r="AA89" s="520"/>
      <c r="AB89" s="520"/>
      <c r="AC89" s="520"/>
      <c r="AD89" s="520"/>
      <c r="AE89" s="520"/>
      <c r="AF89" s="520"/>
      <c r="AG89" s="520"/>
      <c r="AH89" s="520"/>
      <c r="AI89" s="520"/>
      <c r="AJ89" s="520"/>
      <c r="AK89" s="520"/>
      <c r="AL89" s="520"/>
      <c r="AM89" s="520"/>
      <c r="AN89" s="520"/>
      <c r="AO89" s="520"/>
      <c r="AP89" s="520"/>
      <c r="AQ89" s="520"/>
      <c r="AR89" s="520"/>
      <c r="AS89" s="520"/>
      <c r="AT89" s="520"/>
      <c r="AU89" s="520"/>
      <c r="AV89" s="520"/>
      <c r="AW89" s="520"/>
      <c r="AX89" s="520"/>
      <c r="AY89" s="520"/>
      <c r="AZ89" s="520"/>
      <c r="BA89" s="520"/>
      <c r="BB89" s="520"/>
      <c r="BC89" s="520"/>
      <c r="BD89" s="520"/>
      <c r="BE89" s="520"/>
      <c r="BF89" s="520"/>
      <c r="BG89" s="520"/>
      <c r="BH89" s="520"/>
      <c r="BI89" s="520"/>
      <c r="BJ89" s="520"/>
      <c r="BK89" s="520"/>
      <c r="BL89" s="520"/>
      <c r="BM89" s="520"/>
      <c r="BN89" s="520"/>
      <c r="BO89" s="520"/>
      <c r="BP89" s="520"/>
      <c r="BQ89" s="520"/>
      <c r="BR89" s="520"/>
      <c r="BS89" s="520"/>
      <c r="BT89" s="520"/>
      <c r="BU89" s="520"/>
      <c r="BV89" s="520"/>
      <c r="BW89" s="520"/>
      <c r="BX89" s="520"/>
      <c r="BY89" s="520"/>
      <c r="BZ89" s="520"/>
      <c r="CA89" s="520"/>
      <c r="CB89" s="520"/>
      <c r="CC89" s="520"/>
      <c r="CD89" s="520"/>
    </row>
    <row r="91" spans="21:87" ht="15.75" x14ac:dyDescent="0.25">
      <c r="Y91" s="120"/>
      <c r="Z91" s="121"/>
      <c r="AA91" s="121"/>
      <c r="AB91" s="121"/>
      <c r="AC91" s="121"/>
      <c r="AD91" s="121"/>
      <c r="AE91" s="121"/>
      <c r="AF91" s="121"/>
      <c r="AG91" s="121"/>
      <c r="AH91" s="121"/>
      <c r="AI91" s="121"/>
      <c r="AJ91" s="121"/>
      <c r="AK91" s="121"/>
      <c r="AL91" s="121"/>
      <c r="AM91" s="121"/>
      <c r="AN91" s="121"/>
      <c r="AO91" s="121"/>
      <c r="AP91" s="121"/>
      <c r="AQ91" s="121"/>
      <c r="AR91" s="121"/>
      <c r="AS91" s="121"/>
      <c r="AT91" s="121"/>
      <c r="AU91" s="121"/>
      <c r="AV91" s="121"/>
      <c r="AW91" s="121"/>
      <c r="AX91" s="121"/>
      <c r="AY91" s="121"/>
      <c r="AZ91" s="121"/>
      <c r="BA91" s="121"/>
      <c r="BB91" s="121"/>
      <c r="BC91" s="121"/>
      <c r="BD91" s="121"/>
      <c r="BE91" s="121"/>
      <c r="BF91" s="121"/>
      <c r="BG91" s="121"/>
      <c r="BH91" s="121"/>
      <c r="BI91" s="121"/>
      <c r="BJ91" s="121"/>
      <c r="BK91" s="121"/>
      <c r="BL91" s="121"/>
      <c r="BM91" s="121"/>
      <c r="BN91" s="121"/>
      <c r="BO91" s="121"/>
      <c r="BP91" s="121"/>
      <c r="BQ91" s="121"/>
      <c r="BR91" s="121"/>
      <c r="BS91" s="121"/>
      <c r="BT91" s="121"/>
      <c r="BU91" s="121"/>
      <c r="BV91" s="121"/>
      <c r="BW91" s="121"/>
      <c r="BX91" s="121"/>
      <c r="BY91" s="121"/>
      <c r="BZ91" s="121"/>
      <c r="CA91" s="121"/>
      <c r="CB91" s="121"/>
      <c r="CC91" s="121"/>
      <c r="CD91" s="121"/>
    </row>
    <row r="92" spans="21:87" ht="15.75" x14ac:dyDescent="0.25">
      <c r="Y92" s="120"/>
      <c r="Z92" s="60"/>
      <c r="AA92" s="60"/>
      <c r="AB92" s="60"/>
      <c r="AC92" s="60"/>
      <c r="AD92" s="60"/>
      <c r="AE92" s="60"/>
      <c r="AF92" s="60"/>
      <c r="AG92" s="60"/>
      <c r="AH92" s="60"/>
      <c r="AI92" s="60"/>
      <c r="AJ92" s="60"/>
      <c r="AK92" s="60"/>
      <c r="AL92" s="60"/>
      <c r="AM92" s="60"/>
      <c r="AN92" s="60"/>
      <c r="AO92" s="60"/>
      <c r="AP92" s="60"/>
      <c r="AQ92" s="60"/>
      <c r="AR92" s="60"/>
      <c r="AS92" s="60"/>
      <c r="AT92" s="60"/>
      <c r="AU92" s="60"/>
      <c r="AV92" s="60"/>
      <c r="AW92" s="60"/>
      <c r="AX92" s="60"/>
      <c r="AY92" s="60"/>
      <c r="AZ92" s="60"/>
      <c r="BA92" s="60"/>
      <c r="BB92" s="60"/>
      <c r="BC92" s="60"/>
      <c r="BD92" s="60"/>
      <c r="BE92" s="60"/>
      <c r="BF92" s="60"/>
      <c r="BG92" s="60"/>
      <c r="BH92" s="60"/>
      <c r="BI92" s="60"/>
      <c r="BJ92" s="60"/>
      <c r="BK92" s="60"/>
      <c r="BL92" s="60"/>
      <c r="BM92" s="60"/>
      <c r="BN92" s="60"/>
      <c r="BO92" s="60"/>
      <c r="BP92" s="60"/>
      <c r="BQ92" s="60"/>
      <c r="BR92" s="60"/>
      <c r="BS92" s="60"/>
      <c r="BT92" s="60"/>
      <c r="BU92" s="60"/>
      <c r="BV92" s="60"/>
      <c r="BW92" s="60"/>
      <c r="BX92" s="60"/>
      <c r="BY92" s="60"/>
      <c r="BZ92" s="60"/>
      <c r="CA92" s="60"/>
      <c r="CB92" s="60"/>
      <c r="CC92" s="60"/>
      <c r="CD92" s="60"/>
    </row>
    <row r="93" spans="21:87" ht="15.75" x14ac:dyDescent="0.25">
      <c r="Y93" s="120"/>
      <c r="Z93" s="60"/>
      <c r="AA93" s="60"/>
      <c r="AB93" s="60"/>
      <c r="AC93" s="60"/>
      <c r="AD93" s="60"/>
      <c r="AE93" s="60"/>
      <c r="AF93" s="60"/>
      <c r="AG93" s="60"/>
      <c r="AH93" s="60"/>
      <c r="AI93" s="60"/>
      <c r="AJ93" s="60"/>
      <c r="AK93" s="60"/>
      <c r="AL93" s="60"/>
      <c r="AM93" s="60"/>
      <c r="AN93" s="60"/>
      <c r="AO93" s="60"/>
      <c r="AP93" s="60"/>
      <c r="AQ93" s="60"/>
      <c r="AR93" s="60"/>
      <c r="AS93" s="60"/>
      <c r="AT93" s="60"/>
      <c r="AU93" s="60"/>
      <c r="AV93" s="60"/>
      <c r="AW93" s="60"/>
      <c r="AX93" s="60"/>
      <c r="AY93" s="60"/>
      <c r="AZ93" s="60"/>
      <c r="BA93" s="60"/>
      <c r="BB93" s="60"/>
      <c r="BC93" s="60"/>
      <c r="BD93" s="60"/>
      <c r="BE93" s="60"/>
      <c r="BF93" s="60"/>
      <c r="BG93" s="60"/>
      <c r="BH93" s="60"/>
      <c r="BI93" s="60"/>
      <c r="BJ93" s="60"/>
      <c r="BK93" s="60"/>
      <c r="BL93" s="60"/>
      <c r="BM93" s="60"/>
      <c r="BN93" s="60"/>
      <c r="BO93" s="60"/>
      <c r="BP93" s="60"/>
      <c r="BQ93" s="60"/>
      <c r="BR93" s="60"/>
      <c r="BS93" s="60"/>
      <c r="BT93" s="60"/>
      <c r="BU93" s="60"/>
      <c r="BV93" s="60"/>
      <c r="BW93" s="60"/>
      <c r="BX93" s="60"/>
      <c r="BY93" s="60"/>
      <c r="BZ93" s="60"/>
      <c r="CA93" s="60"/>
      <c r="CB93" s="60"/>
      <c r="CC93" s="60"/>
      <c r="CD93" s="60"/>
    </row>
    <row r="94" spans="21:87" ht="15.75" x14ac:dyDescent="0.25">
      <c r="Y94" s="120"/>
      <c r="Z94" s="60"/>
      <c r="AA94" s="60"/>
      <c r="AB94" s="60"/>
      <c r="AC94" s="60"/>
      <c r="AD94" s="60"/>
      <c r="AE94" s="60"/>
      <c r="AF94" s="60"/>
      <c r="AG94" s="60"/>
      <c r="AH94" s="60"/>
      <c r="AI94" s="60"/>
      <c r="AJ94" s="60"/>
      <c r="AK94" s="60"/>
      <c r="AL94" s="60"/>
      <c r="AM94" s="60"/>
      <c r="AN94" s="60"/>
      <c r="AO94" s="60"/>
      <c r="AP94" s="60"/>
      <c r="AQ94" s="60"/>
      <c r="AR94" s="60"/>
      <c r="AS94" s="60"/>
      <c r="AT94" s="60"/>
      <c r="AU94" s="60"/>
      <c r="AV94" s="60"/>
      <c r="AW94" s="60"/>
      <c r="AX94" s="60"/>
      <c r="AY94" s="60"/>
      <c r="AZ94" s="60"/>
      <c r="BA94" s="60"/>
      <c r="BB94" s="60"/>
      <c r="BC94" s="60"/>
      <c r="BD94" s="60"/>
      <c r="BE94" s="60"/>
      <c r="BF94" s="60"/>
      <c r="BG94" s="60"/>
      <c r="BH94" s="60"/>
      <c r="BI94" s="60"/>
      <c r="BJ94" s="60"/>
      <c r="BK94" s="60"/>
      <c r="BL94" s="60"/>
      <c r="BM94" s="60"/>
      <c r="BN94" s="60"/>
      <c r="BO94" s="60"/>
      <c r="BP94" s="60"/>
      <c r="BQ94" s="60"/>
      <c r="BR94" s="60"/>
      <c r="BS94" s="60"/>
      <c r="BT94" s="60"/>
      <c r="BU94" s="60"/>
      <c r="BV94" s="60"/>
      <c r="BW94" s="60"/>
      <c r="BX94" s="60"/>
      <c r="BY94" s="60"/>
      <c r="BZ94" s="60"/>
      <c r="CA94" s="60"/>
      <c r="CB94" s="60"/>
      <c r="CC94" s="60"/>
      <c r="CD94" s="60"/>
    </row>
    <row r="95" spans="21:87" ht="15.75" x14ac:dyDescent="0.25">
      <c r="Y95" s="120"/>
      <c r="Z95" s="519"/>
      <c r="AA95" s="519"/>
      <c r="AB95" s="519"/>
      <c r="AC95" s="519"/>
      <c r="AD95" s="519"/>
      <c r="AE95" s="519"/>
      <c r="AF95" s="519"/>
      <c r="AG95" s="519"/>
      <c r="AH95" s="519"/>
      <c r="AI95" s="519"/>
      <c r="AJ95" s="519"/>
      <c r="AK95" s="519"/>
      <c r="AL95" s="519"/>
      <c r="AM95" s="519"/>
      <c r="AN95" s="519"/>
      <c r="AO95" s="519"/>
      <c r="AP95" s="519"/>
      <c r="AQ95" s="519"/>
      <c r="AR95" s="519"/>
      <c r="AS95" s="519"/>
      <c r="AT95" s="519"/>
      <c r="AU95" s="519"/>
      <c r="AV95" s="519"/>
      <c r="AW95" s="519"/>
      <c r="AX95" s="519"/>
      <c r="AY95" s="519"/>
      <c r="AZ95" s="519"/>
      <c r="BA95" s="519"/>
      <c r="BB95" s="519"/>
      <c r="BC95" s="519"/>
      <c r="BD95" s="519"/>
      <c r="BE95" s="519"/>
      <c r="BF95" s="519"/>
      <c r="BG95" s="519"/>
      <c r="BH95" s="519"/>
      <c r="BI95" s="519"/>
      <c r="BJ95" s="519"/>
      <c r="BK95" s="519"/>
      <c r="BL95" s="519"/>
      <c r="BM95" s="519"/>
      <c r="BN95" s="519"/>
      <c r="BO95" s="519"/>
      <c r="BP95" s="519"/>
      <c r="BQ95" s="519"/>
      <c r="BR95" s="519"/>
      <c r="BS95" s="519"/>
      <c r="BT95" s="519"/>
      <c r="BU95" s="519"/>
      <c r="BV95" s="519"/>
      <c r="BW95" s="519"/>
      <c r="BX95" s="519"/>
      <c r="BY95" s="519"/>
      <c r="BZ95" s="519"/>
      <c r="CA95" s="519"/>
      <c r="CB95" s="519"/>
      <c r="CC95" s="519"/>
      <c r="CD95" s="519"/>
    </row>
    <row r="96" spans="21:87" ht="15.75" x14ac:dyDescent="0.25">
      <c r="U96" s="166"/>
      <c r="V96" s="166"/>
      <c r="X96" s="124"/>
      <c r="Y96" s="120"/>
      <c r="Z96" s="519"/>
      <c r="AA96" s="519"/>
      <c r="AB96" s="519"/>
      <c r="AC96" s="519"/>
      <c r="AD96" s="519"/>
      <c r="AE96" s="519"/>
      <c r="AF96" s="519"/>
      <c r="AG96" s="519"/>
      <c r="AH96" s="519"/>
      <c r="AI96" s="519"/>
      <c r="AJ96" s="519"/>
      <c r="AK96" s="519"/>
      <c r="AL96" s="519"/>
      <c r="AM96" s="519"/>
      <c r="AN96" s="519"/>
      <c r="AO96" s="519"/>
      <c r="AP96" s="519"/>
      <c r="AQ96" s="519"/>
      <c r="AR96" s="519"/>
      <c r="AS96" s="519"/>
      <c r="AT96" s="519"/>
      <c r="AU96" s="519"/>
      <c r="AV96" s="519"/>
      <c r="AW96" s="519"/>
      <c r="AX96" s="519"/>
      <c r="AY96" s="519"/>
      <c r="AZ96" s="519"/>
      <c r="BA96" s="519"/>
      <c r="BB96" s="519"/>
      <c r="BC96" s="519"/>
      <c r="BD96" s="519"/>
      <c r="BE96" s="519"/>
      <c r="BF96" s="519"/>
      <c r="BG96" s="519"/>
      <c r="BH96" s="519"/>
      <c r="BI96" s="519"/>
      <c r="BJ96" s="519"/>
      <c r="BK96" s="519"/>
      <c r="BL96" s="519"/>
      <c r="BM96" s="519"/>
      <c r="BN96" s="519"/>
      <c r="BO96" s="519"/>
      <c r="BP96" s="519"/>
      <c r="BQ96" s="519"/>
      <c r="BR96" s="519"/>
      <c r="BS96" s="519"/>
      <c r="BT96" s="519"/>
      <c r="BU96" s="519"/>
      <c r="BV96" s="519"/>
      <c r="BW96" s="519"/>
      <c r="BX96" s="519"/>
      <c r="BY96" s="519"/>
      <c r="BZ96" s="519"/>
      <c r="CA96" s="519"/>
      <c r="CB96" s="519"/>
      <c r="CC96" s="519"/>
      <c r="CD96" s="519"/>
    </row>
    <row r="97" spans="21:82" ht="15.75" x14ac:dyDescent="0.25">
      <c r="U97" s="166"/>
      <c r="V97" s="166"/>
      <c r="X97" s="124"/>
      <c r="Y97" s="120"/>
      <c r="Z97" s="519"/>
      <c r="AA97" s="519"/>
      <c r="AB97" s="519"/>
      <c r="AC97" s="519"/>
      <c r="AD97" s="519"/>
      <c r="AE97" s="519"/>
      <c r="AF97" s="519"/>
      <c r="AG97" s="519"/>
      <c r="AH97" s="519"/>
      <c r="AI97" s="519"/>
      <c r="AJ97" s="519"/>
      <c r="AK97" s="519"/>
      <c r="AL97" s="519"/>
      <c r="AM97" s="519"/>
      <c r="AN97" s="519"/>
      <c r="AO97" s="519"/>
      <c r="AP97" s="519"/>
      <c r="AQ97" s="519"/>
      <c r="AR97" s="519"/>
      <c r="AS97" s="519"/>
      <c r="AT97" s="519"/>
      <c r="AU97" s="519"/>
      <c r="AV97" s="519"/>
      <c r="AW97" s="519"/>
      <c r="AX97" s="519"/>
      <c r="AY97" s="519"/>
      <c r="AZ97" s="519"/>
      <c r="BA97" s="519"/>
      <c r="BB97" s="519"/>
      <c r="BC97" s="519"/>
      <c r="BD97" s="519"/>
      <c r="BE97" s="519"/>
      <c r="BF97" s="519"/>
      <c r="BG97" s="519"/>
      <c r="BH97" s="519"/>
      <c r="BI97" s="519"/>
      <c r="BJ97" s="519"/>
      <c r="BK97" s="519"/>
      <c r="BL97" s="519"/>
      <c r="BM97" s="519"/>
      <c r="BN97" s="519"/>
      <c r="BO97" s="519"/>
      <c r="BP97" s="519"/>
      <c r="BQ97" s="519"/>
      <c r="BR97" s="519"/>
      <c r="BS97" s="519"/>
      <c r="BT97" s="519"/>
      <c r="BU97" s="519"/>
      <c r="BV97" s="519"/>
      <c r="BW97" s="519"/>
      <c r="BX97" s="519"/>
      <c r="BY97" s="519"/>
      <c r="BZ97" s="519"/>
      <c r="CA97" s="519"/>
      <c r="CB97" s="519"/>
      <c r="CC97" s="519"/>
      <c r="CD97" s="519"/>
    </row>
    <row r="98" spans="21:82" ht="15.75" x14ac:dyDescent="0.25">
      <c r="Y98" s="120"/>
      <c r="Z98" s="60"/>
      <c r="AA98" s="60"/>
      <c r="AB98" s="60"/>
      <c r="AC98" s="60"/>
      <c r="AD98" s="60"/>
      <c r="AE98" s="60"/>
      <c r="AF98" s="60"/>
      <c r="AG98" s="60"/>
      <c r="AH98" s="60"/>
      <c r="AI98" s="60"/>
      <c r="AJ98" s="60"/>
      <c r="AK98" s="60"/>
      <c r="AL98" s="60"/>
      <c r="AM98" s="60"/>
      <c r="AN98" s="60"/>
      <c r="AO98" s="60"/>
      <c r="AP98" s="60"/>
      <c r="AQ98" s="60"/>
      <c r="AR98" s="60"/>
      <c r="AS98" s="60"/>
      <c r="AT98" s="60"/>
      <c r="AU98" s="60"/>
      <c r="AV98" s="60"/>
      <c r="AW98" s="60"/>
      <c r="AX98" s="60"/>
      <c r="AY98" s="60"/>
      <c r="AZ98" s="60"/>
      <c r="BA98" s="60"/>
      <c r="BB98" s="60"/>
      <c r="BC98" s="60"/>
      <c r="BD98" s="60"/>
      <c r="BE98" s="60"/>
      <c r="BF98" s="60"/>
      <c r="BG98" s="60"/>
      <c r="BH98" s="60"/>
      <c r="BI98" s="60"/>
      <c r="BJ98" s="60"/>
      <c r="BK98" s="60"/>
      <c r="BL98" s="60"/>
      <c r="BM98" s="60"/>
      <c r="BN98" s="60"/>
      <c r="BO98" s="60"/>
      <c r="BP98" s="60"/>
      <c r="BQ98" s="60"/>
      <c r="BR98" s="60"/>
      <c r="BS98" s="60"/>
      <c r="BT98" s="60"/>
      <c r="BU98" s="60"/>
      <c r="BV98" s="60"/>
      <c r="BW98" s="60"/>
      <c r="BX98" s="60"/>
      <c r="BY98" s="60"/>
      <c r="BZ98" s="60"/>
      <c r="CA98" s="60"/>
      <c r="CB98" s="60"/>
      <c r="CC98" s="60"/>
      <c r="CD98" s="60"/>
    </row>
    <row r="99" spans="21:82" ht="15.75" x14ac:dyDescent="0.25">
      <c r="Y99" s="120"/>
      <c r="Z99" s="519"/>
      <c r="AA99" s="519"/>
      <c r="AB99" s="519"/>
      <c r="AC99" s="519"/>
      <c r="AD99" s="519"/>
      <c r="AE99" s="519"/>
      <c r="AF99" s="519"/>
      <c r="AG99" s="519"/>
      <c r="AH99" s="519"/>
      <c r="AI99" s="519"/>
      <c r="AJ99" s="519"/>
      <c r="AK99" s="519"/>
      <c r="AL99" s="519"/>
      <c r="AM99" s="519"/>
      <c r="AN99" s="519"/>
      <c r="AO99" s="519"/>
      <c r="AP99" s="519"/>
      <c r="AQ99" s="519"/>
      <c r="AR99" s="519"/>
      <c r="AS99" s="519"/>
      <c r="AT99" s="519"/>
      <c r="AU99" s="519"/>
      <c r="AV99" s="519"/>
      <c r="AW99" s="519"/>
      <c r="AX99" s="519"/>
      <c r="AY99" s="519"/>
      <c r="AZ99" s="519"/>
      <c r="BA99" s="519"/>
      <c r="BB99" s="519"/>
      <c r="BC99" s="519"/>
      <c r="BD99" s="519"/>
      <c r="BE99" s="519"/>
      <c r="BF99" s="519"/>
      <c r="BG99" s="519"/>
      <c r="BH99" s="519"/>
      <c r="BI99" s="519"/>
      <c r="BJ99" s="519"/>
      <c r="BK99" s="519"/>
      <c r="BL99" s="519"/>
      <c r="BM99" s="519"/>
      <c r="BN99" s="519"/>
      <c r="BO99" s="519"/>
      <c r="BP99" s="519"/>
      <c r="BQ99" s="519"/>
      <c r="BR99" s="519"/>
      <c r="BS99" s="519"/>
      <c r="BT99" s="519"/>
      <c r="BU99" s="519"/>
      <c r="BV99" s="519"/>
      <c r="BW99" s="519"/>
      <c r="BX99" s="519"/>
      <c r="BY99" s="519"/>
      <c r="BZ99" s="519"/>
      <c r="CA99" s="519"/>
      <c r="CB99" s="519"/>
      <c r="CC99" s="519"/>
      <c r="CD99" s="519"/>
    </row>
    <row r="100" spans="21:82" ht="15.75" x14ac:dyDescent="0.25">
      <c r="Y100" s="120"/>
      <c r="Z100" s="519"/>
      <c r="AA100" s="519"/>
      <c r="AB100" s="519"/>
      <c r="AC100" s="519"/>
      <c r="AD100" s="519"/>
      <c r="AE100" s="519"/>
      <c r="AF100" s="519"/>
      <c r="AG100" s="519"/>
      <c r="AH100" s="519"/>
      <c r="AI100" s="519"/>
      <c r="AJ100" s="519"/>
      <c r="AK100" s="519"/>
      <c r="AL100" s="519"/>
      <c r="AM100" s="519"/>
      <c r="AN100" s="519"/>
      <c r="AO100" s="519"/>
      <c r="AP100" s="519"/>
      <c r="AQ100" s="519"/>
      <c r="AR100" s="519"/>
      <c r="AS100" s="519"/>
      <c r="AT100" s="519"/>
      <c r="AU100" s="519"/>
      <c r="AV100" s="519"/>
      <c r="AW100" s="519"/>
      <c r="AX100" s="519"/>
      <c r="AY100" s="519"/>
      <c r="AZ100" s="519"/>
      <c r="BA100" s="519"/>
      <c r="BB100" s="519"/>
      <c r="BC100" s="519"/>
      <c r="BD100" s="519"/>
      <c r="BE100" s="519"/>
      <c r="BF100" s="519"/>
      <c r="BG100" s="519"/>
      <c r="BH100" s="519"/>
      <c r="BI100" s="519"/>
      <c r="BJ100" s="519"/>
      <c r="BK100" s="519"/>
      <c r="BL100" s="519"/>
      <c r="BM100" s="519"/>
      <c r="BN100" s="519"/>
      <c r="BO100" s="519"/>
      <c r="BP100" s="519"/>
      <c r="BQ100" s="519"/>
      <c r="BR100" s="519"/>
      <c r="BS100" s="519"/>
      <c r="BT100" s="519"/>
      <c r="BU100" s="519"/>
      <c r="BV100" s="519"/>
      <c r="BW100" s="519"/>
      <c r="BX100" s="519"/>
      <c r="BY100" s="519"/>
      <c r="BZ100" s="519"/>
      <c r="CA100" s="519"/>
      <c r="CB100" s="519"/>
      <c r="CC100" s="519"/>
      <c r="CD100" s="519"/>
    </row>
    <row r="101" spans="21:82" ht="15.75" x14ac:dyDescent="0.25">
      <c r="Y101" s="120"/>
      <c r="Z101" s="519"/>
      <c r="AA101" s="519"/>
      <c r="AB101" s="519"/>
      <c r="AC101" s="519"/>
      <c r="AD101" s="519"/>
      <c r="AE101" s="519"/>
      <c r="AF101" s="519"/>
      <c r="AG101" s="519"/>
      <c r="AH101" s="519"/>
      <c r="AI101" s="519"/>
      <c r="AJ101" s="519"/>
      <c r="AK101" s="519"/>
      <c r="AL101" s="519"/>
      <c r="AM101" s="519"/>
      <c r="AN101" s="519"/>
      <c r="AO101" s="519"/>
      <c r="AP101" s="519"/>
      <c r="AQ101" s="519"/>
      <c r="AR101" s="519"/>
      <c r="AS101" s="519"/>
      <c r="AT101" s="519"/>
      <c r="AU101" s="519"/>
      <c r="AV101" s="519"/>
      <c r="AW101" s="519"/>
      <c r="AX101" s="519"/>
      <c r="AY101" s="519"/>
      <c r="AZ101" s="519"/>
      <c r="BA101" s="519"/>
      <c r="BB101" s="519"/>
      <c r="BC101" s="519"/>
      <c r="BD101" s="519"/>
      <c r="BE101" s="519"/>
      <c r="BF101" s="519"/>
      <c r="BG101" s="519"/>
      <c r="BH101" s="519"/>
      <c r="BI101" s="519"/>
      <c r="BJ101" s="519"/>
      <c r="BK101" s="519"/>
      <c r="BL101" s="519"/>
      <c r="BM101" s="519"/>
      <c r="BN101" s="519"/>
      <c r="BO101" s="519"/>
      <c r="BP101" s="519"/>
      <c r="BQ101" s="519"/>
      <c r="BR101" s="519"/>
      <c r="BS101" s="519"/>
      <c r="BT101" s="519"/>
      <c r="BU101" s="519"/>
      <c r="BV101" s="519"/>
      <c r="BW101" s="519"/>
      <c r="BX101" s="519"/>
      <c r="BY101" s="519"/>
      <c r="BZ101" s="519"/>
      <c r="CA101" s="519"/>
      <c r="CB101" s="519"/>
      <c r="CC101" s="519"/>
      <c r="CD101" s="519"/>
    </row>
    <row r="102" spans="21:82" ht="15.75" x14ac:dyDescent="0.25">
      <c r="Y102" s="120"/>
      <c r="Z102" s="519"/>
      <c r="AA102" s="519"/>
      <c r="AB102" s="519"/>
      <c r="AC102" s="519"/>
      <c r="AD102" s="519"/>
      <c r="AE102" s="519"/>
      <c r="AF102" s="519"/>
      <c r="AG102" s="519"/>
      <c r="AH102" s="519"/>
      <c r="AI102" s="519"/>
      <c r="AJ102" s="519"/>
      <c r="AK102" s="519"/>
      <c r="AL102" s="519"/>
      <c r="AM102" s="519"/>
      <c r="AN102" s="519"/>
      <c r="AO102" s="519"/>
      <c r="AP102" s="519"/>
      <c r="AQ102" s="519"/>
      <c r="AR102" s="519"/>
      <c r="AS102" s="519"/>
      <c r="AT102" s="519"/>
      <c r="AU102" s="519"/>
      <c r="AV102" s="519"/>
      <c r="AW102" s="519"/>
      <c r="AX102" s="519"/>
      <c r="AY102" s="519"/>
      <c r="AZ102" s="519"/>
      <c r="BA102" s="519"/>
      <c r="BB102" s="519"/>
      <c r="BC102" s="519"/>
      <c r="BD102" s="519"/>
      <c r="BE102" s="519"/>
      <c r="BF102" s="519"/>
      <c r="BG102" s="519"/>
      <c r="BH102" s="519"/>
      <c r="BI102" s="519"/>
      <c r="BJ102" s="519"/>
      <c r="BK102" s="519"/>
      <c r="BL102" s="519"/>
      <c r="BM102" s="519"/>
      <c r="BN102" s="519"/>
      <c r="BO102" s="519"/>
      <c r="BP102" s="519"/>
      <c r="BQ102" s="519"/>
      <c r="BR102" s="519"/>
      <c r="BS102" s="519"/>
      <c r="BT102" s="519"/>
      <c r="BU102" s="519"/>
      <c r="BV102" s="519"/>
      <c r="BW102" s="519"/>
      <c r="BX102" s="519"/>
      <c r="BY102" s="519"/>
      <c r="BZ102" s="519"/>
      <c r="CA102" s="519"/>
      <c r="CB102" s="519"/>
      <c r="CC102" s="519"/>
      <c r="CD102" s="519"/>
    </row>
    <row r="103" spans="21:82" ht="15.75" x14ac:dyDescent="0.25">
      <c r="Y103" s="120"/>
      <c r="Z103" s="519"/>
      <c r="AA103" s="519"/>
      <c r="AB103" s="519"/>
      <c r="AC103" s="519"/>
      <c r="AD103" s="519"/>
      <c r="AE103" s="519"/>
      <c r="AF103" s="519"/>
      <c r="AG103" s="519"/>
      <c r="AH103" s="519"/>
      <c r="AI103" s="519"/>
      <c r="AJ103" s="519"/>
      <c r="AK103" s="519"/>
      <c r="AL103" s="519"/>
      <c r="AM103" s="519"/>
      <c r="AN103" s="519"/>
      <c r="AO103" s="519"/>
      <c r="AP103" s="519"/>
      <c r="AQ103" s="519"/>
      <c r="AR103" s="519"/>
      <c r="AS103" s="519"/>
      <c r="AT103" s="519"/>
      <c r="AU103" s="519"/>
      <c r="AV103" s="519"/>
      <c r="AW103" s="519"/>
      <c r="AX103" s="519"/>
      <c r="AY103" s="519"/>
      <c r="AZ103" s="519"/>
      <c r="BA103" s="519"/>
      <c r="BB103" s="519"/>
      <c r="BC103" s="519"/>
      <c r="BD103" s="519"/>
      <c r="BE103" s="519"/>
      <c r="BF103" s="519"/>
      <c r="BG103" s="519"/>
      <c r="BH103" s="519"/>
      <c r="BI103" s="519"/>
      <c r="BJ103" s="519"/>
      <c r="BK103" s="519"/>
      <c r="BL103" s="519"/>
      <c r="BM103" s="519"/>
      <c r="BN103" s="519"/>
      <c r="BO103" s="519"/>
      <c r="BP103" s="519"/>
      <c r="BQ103" s="519"/>
      <c r="BR103" s="519"/>
      <c r="BS103" s="519"/>
      <c r="BT103" s="519"/>
      <c r="BU103" s="519"/>
      <c r="BV103" s="519"/>
      <c r="BW103" s="519"/>
      <c r="BX103" s="519"/>
      <c r="BY103" s="519"/>
      <c r="BZ103" s="519"/>
      <c r="CA103" s="519"/>
      <c r="CB103" s="519"/>
      <c r="CC103" s="519"/>
      <c r="CD103" s="519"/>
    </row>
    <row r="104" spans="21:82" ht="15.75" x14ac:dyDescent="0.25">
      <c r="Y104" s="120"/>
      <c r="Z104" s="519"/>
      <c r="AA104" s="519"/>
      <c r="AB104" s="519"/>
      <c r="AC104" s="519"/>
      <c r="AD104" s="519"/>
      <c r="AE104" s="519"/>
      <c r="AF104" s="519"/>
      <c r="AG104" s="519"/>
      <c r="AH104" s="519"/>
      <c r="AI104" s="519"/>
      <c r="AJ104" s="519"/>
      <c r="AK104" s="519"/>
      <c r="AL104" s="519"/>
      <c r="AM104" s="519"/>
      <c r="AN104" s="519"/>
      <c r="AO104" s="519"/>
      <c r="AP104" s="519"/>
      <c r="AQ104" s="519"/>
      <c r="AR104" s="519"/>
      <c r="AS104" s="519"/>
      <c r="AT104" s="519"/>
      <c r="AU104" s="519"/>
      <c r="AV104" s="519"/>
      <c r="AW104" s="519"/>
      <c r="AX104" s="519"/>
      <c r="AY104" s="519"/>
      <c r="AZ104" s="519"/>
      <c r="BA104" s="519"/>
      <c r="BB104" s="519"/>
      <c r="BC104" s="519"/>
      <c r="BD104" s="519"/>
      <c r="BE104" s="519"/>
      <c r="BF104" s="519"/>
      <c r="BG104" s="519"/>
      <c r="BH104" s="519"/>
      <c r="BI104" s="519"/>
      <c r="BJ104" s="519"/>
      <c r="BK104" s="519"/>
      <c r="BL104" s="519"/>
      <c r="BM104" s="519"/>
      <c r="BN104" s="519"/>
      <c r="BO104" s="519"/>
      <c r="BP104" s="519"/>
      <c r="BQ104" s="519"/>
      <c r="BR104" s="519"/>
      <c r="BS104" s="519"/>
      <c r="BT104" s="519"/>
      <c r="BU104" s="519"/>
      <c r="BV104" s="519"/>
      <c r="BW104" s="519"/>
      <c r="BX104" s="519"/>
      <c r="BY104" s="519"/>
      <c r="BZ104" s="519"/>
      <c r="CA104" s="519"/>
      <c r="CB104" s="519"/>
      <c r="CC104" s="519"/>
      <c r="CD104" s="519"/>
    </row>
    <row r="105" spans="21:82" ht="15.75" x14ac:dyDescent="0.25">
      <c r="Y105" s="120"/>
      <c r="Z105" s="519"/>
      <c r="AA105" s="519"/>
      <c r="AB105" s="519"/>
      <c r="AC105" s="519"/>
      <c r="AD105" s="519"/>
      <c r="AE105" s="519"/>
      <c r="AF105" s="519"/>
      <c r="AG105" s="519"/>
      <c r="AH105" s="519"/>
      <c r="AI105" s="519"/>
      <c r="AJ105" s="519"/>
      <c r="AK105" s="519"/>
      <c r="AL105" s="519"/>
      <c r="AM105" s="519"/>
      <c r="AN105" s="519"/>
      <c r="AO105" s="519"/>
      <c r="AP105" s="519"/>
      <c r="AQ105" s="519"/>
      <c r="AR105" s="519"/>
      <c r="AS105" s="519"/>
      <c r="AT105" s="519"/>
      <c r="AU105" s="519"/>
      <c r="AV105" s="519"/>
      <c r="AW105" s="519"/>
      <c r="AX105" s="519"/>
      <c r="AY105" s="519"/>
      <c r="AZ105" s="519"/>
      <c r="BA105" s="519"/>
      <c r="BB105" s="519"/>
      <c r="BC105" s="519"/>
      <c r="BD105" s="519"/>
      <c r="BE105" s="519"/>
      <c r="BF105" s="519"/>
      <c r="BG105" s="519"/>
      <c r="BH105" s="519"/>
      <c r="BI105" s="519"/>
      <c r="BJ105" s="519"/>
      <c r="BK105" s="519"/>
      <c r="BL105" s="519"/>
      <c r="BM105" s="519"/>
      <c r="BN105" s="519"/>
      <c r="BO105" s="519"/>
      <c r="BP105" s="519"/>
      <c r="BQ105" s="519"/>
      <c r="BR105" s="519"/>
      <c r="BS105" s="519"/>
      <c r="BT105" s="519"/>
      <c r="BU105" s="519"/>
      <c r="BV105" s="519"/>
      <c r="BW105" s="519"/>
      <c r="BX105" s="519"/>
      <c r="BY105" s="519"/>
      <c r="BZ105" s="519"/>
      <c r="CA105" s="519"/>
      <c r="CB105" s="519"/>
      <c r="CC105" s="519"/>
      <c r="CD105" s="519"/>
    </row>
    <row r="106" spans="21:82" ht="15.75" x14ac:dyDescent="0.25">
      <c r="Y106" s="120"/>
      <c r="Z106" s="519"/>
      <c r="AA106" s="519"/>
      <c r="AB106" s="519"/>
      <c r="AC106" s="519"/>
      <c r="AD106" s="519"/>
      <c r="AE106" s="519"/>
      <c r="AF106" s="519"/>
      <c r="AG106" s="519"/>
      <c r="AH106" s="519"/>
      <c r="AI106" s="519"/>
      <c r="AJ106" s="519"/>
      <c r="AK106" s="519"/>
      <c r="AL106" s="519"/>
      <c r="AM106" s="519"/>
      <c r="AN106" s="519"/>
      <c r="AO106" s="519"/>
      <c r="AP106" s="519"/>
      <c r="AQ106" s="519"/>
      <c r="AR106" s="519"/>
      <c r="AS106" s="519"/>
      <c r="AT106" s="519"/>
      <c r="AU106" s="519"/>
      <c r="AV106" s="519"/>
      <c r="AW106" s="519"/>
      <c r="AX106" s="519"/>
      <c r="AY106" s="519"/>
      <c r="AZ106" s="519"/>
      <c r="BA106" s="519"/>
      <c r="BB106" s="519"/>
      <c r="BC106" s="519"/>
      <c r="BD106" s="519"/>
      <c r="BE106" s="519"/>
      <c r="BF106" s="519"/>
      <c r="BG106" s="519"/>
      <c r="BH106" s="519"/>
      <c r="BI106" s="519"/>
      <c r="BJ106" s="519"/>
      <c r="BK106" s="519"/>
      <c r="BL106" s="519"/>
      <c r="BM106" s="519"/>
      <c r="BN106" s="519"/>
      <c r="BO106" s="519"/>
      <c r="BP106" s="519"/>
      <c r="BQ106" s="519"/>
      <c r="BR106" s="519"/>
      <c r="BS106" s="519"/>
      <c r="BT106" s="519"/>
      <c r="BU106" s="519"/>
      <c r="BV106" s="519"/>
      <c r="BW106" s="519"/>
      <c r="BX106" s="519"/>
      <c r="BY106" s="519"/>
      <c r="BZ106" s="519"/>
      <c r="CA106" s="519"/>
      <c r="CB106" s="519"/>
      <c r="CC106" s="519"/>
      <c r="CD106" s="519"/>
    </row>
    <row r="107" spans="21:82" ht="15.75" x14ac:dyDescent="0.25">
      <c r="Y107" s="120"/>
      <c r="Z107" s="519"/>
      <c r="AA107" s="519"/>
      <c r="AB107" s="519"/>
      <c r="AC107" s="519"/>
      <c r="AD107" s="519"/>
      <c r="AE107" s="519"/>
      <c r="AF107" s="519"/>
      <c r="AG107" s="519"/>
      <c r="AH107" s="519"/>
      <c r="AI107" s="519"/>
      <c r="AJ107" s="519"/>
      <c r="AK107" s="519"/>
      <c r="AL107" s="519"/>
      <c r="AM107" s="519"/>
      <c r="AN107" s="519"/>
      <c r="AO107" s="519"/>
      <c r="AP107" s="519"/>
      <c r="AQ107" s="519"/>
      <c r="AR107" s="519"/>
      <c r="AS107" s="519"/>
      <c r="AT107" s="519"/>
      <c r="AU107" s="519"/>
      <c r="AV107" s="519"/>
      <c r="AW107" s="519"/>
      <c r="AX107" s="519"/>
      <c r="AY107" s="519"/>
      <c r="AZ107" s="519"/>
      <c r="BA107" s="519"/>
      <c r="BB107" s="519"/>
      <c r="BC107" s="519"/>
      <c r="BD107" s="519"/>
      <c r="BE107" s="519"/>
      <c r="BF107" s="519"/>
      <c r="BG107" s="519"/>
      <c r="BH107" s="519"/>
      <c r="BI107" s="519"/>
      <c r="BJ107" s="519"/>
      <c r="BK107" s="519"/>
      <c r="BL107" s="519"/>
      <c r="BM107" s="519"/>
      <c r="BN107" s="519"/>
      <c r="BO107" s="519"/>
      <c r="BP107" s="519"/>
      <c r="BQ107" s="519"/>
      <c r="BR107" s="519"/>
      <c r="BS107" s="519"/>
      <c r="BT107" s="519"/>
      <c r="BU107" s="519"/>
      <c r="BV107" s="519"/>
      <c r="BW107" s="519"/>
      <c r="BX107" s="519"/>
      <c r="BY107" s="519"/>
      <c r="BZ107" s="519"/>
      <c r="CA107" s="519"/>
      <c r="CB107" s="519"/>
      <c r="CC107" s="519"/>
      <c r="CD107" s="519"/>
    </row>
    <row r="108" spans="21:82" ht="15.75" x14ac:dyDescent="0.25">
      <c r="Y108" s="120"/>
      <c r="Z108" s="519"/>
      <c r="AA108" s="519"/>
      <c r="AB108" s="519"/>
      <c r="AC108" s="519"/>
      <c r="AD108" s="519"/>
      <c r="AE108" s="519"/>
      <c r="AF108" s="519"/>
      <c r="AG108" s="519"/>
      <c r="AH108" s="519"/>
      <c r="AI108" s="519"/>
      <c r="AJ108" s="519"/>
      <c r="AK108" s="519"/>
      <c r="AL108" s="519"/>
      <c r="AM108" s="519"/>
      <c r="AN108" s="519"/>
      <c r="AO108" s="519"/>
      <c r="AP108" s="519"/>
      <c r="AQ108" s="519"/>
      <c r="AR108" s="519"/>
      <c r="AS108" s="519"/>
      <c r="AT108" s="519"/>
      <c r="AU108" s="519"/>
      <c r="AV108" s="519"/>
      <c r="AW108" s="519"/>
      <c r="AX108" s="519"/>
      <c r="AY108" s="519"/>
      <c r="AZ108" s="519"/>
      <c r="BA108" s="519"/>
      <c r="BB108" s="519"/>
      <c r="BC108" s="519"/>
      <c r="BD108" s="519"/>
      <c r="BE108" s="519"/>
      <c r="BF108" s="519"/>
      <c r="BG108" s="519"/>
      <c r="BH108" s="519"/>
      <c r="BI108" s="519"/>
      <c r="BJ108" s="519"/>
      <c r="BK108" s="519"/>
      <c r="BL108" s="519"/>
      <c r="BM108" s="519"/>
      <c r="BN108" s="519"/>
      <c r="BO108" s="519"/>
      <c r="BP108" s="519"/>
      <c r="BQ108" s="519"/>
      <c r="BR108" s="519"/>
      <c r="BS108" s="519"/>
      <c r="BT108" s="519"/>
      <c r="BU108" s="519"/>
      <c r="BV108" s="519"/>
      <c r="BW108" s="519"/>
      <c r="BX108" s="519"/>
      <c r="BY108" s="519"/>
      <c r="BZ108" s="519"/>
      <c r="CA108" s="519"/>
      <c r="CB108" s="519"/>
      <c r="CC108" s="519"/>
      <c r="CD108" s="519"/>
    </row>
    <row r="109" spans="21:82" ht="15.75" x14ac:dyDescent="0.25">
      <c r="Y109" s="120"/>
      <c r="Z109" s="519"/>
      <c r="AA109" s="519"/>
      <c r="AB109" s="519"/>
      <c r="AC109" s="519"/>
      <c r="AD109" s="519"/>
      <c r="AE109" s="519"/>
      <c r="AF109" s="519"/>
      <c r="AG109" s="519"/>
      <c r="AH109" s="519"/>
      <c r="AI109" s="519"/>
      <c r="AJ109" s="519"/>
      <c r="AK109" s="519"/>
      <c r="AL109" s="519"/>
      <c r="AM109" s="519"/>
      <c r="AN109" s="519"/>
      <c r="AO109" s="519"/>
      <c r="AP109" s="519"/>
      <c r="AQ109" s="519"/>
      <c r="AR109" s="519"/>
      <c r="AS109" s="519"/>
      <c r="AT109" s="519"/>
      <c r="AU109" s="519"/>
      <c r="AV109" s="519"/>
      <c r="AW109" s="519"/>
      <c r="AX109" s="519"/>
      <c r="AY109" s="519"/>
      <c r="AZ109" s="519"/>
      <c r="BA109" s="519"/>
      <c r="BB109" s="519"/>
      <c r="BC109" s="519"/>
      <c r="BD109" s="519"/>
      <c r="BE109" s="519"/>
      <c r="BF109" s="519"/>
      <c r="BG109" s="519"/>
      <c r="BH109" s="519"/>
      <c r="BI109" s="519"/>
      <c r="BJ109" s="519"/>
      <c r="BK109" s="519"/>
      <c r="BL109" s="519"/>
      <c r="BM109" s="519"/>
      <c r="BN109" s="519"/>
      <c r="BO109" s="519"/>
      <c r="BP109" s="519"/>
      <c r="BQ109" s="519"/>
      <c r="BR109" s="519"/>
      <c r="BS109" s="519"/>
      <c r="BT109" s="519"/>
      <c r="BU109" s="519"/>
      <c r="BV109" s="519"/>
      <c r="BW109" s="519"/>
      <c r="BX109" s="519"/>
      <c r="BY109" s="519"/>
      <c r="BZ109" s="519"/>
      <c r="CA109" s="519"/>
      <c r="CB109" s="519"/>
      <c r="CC109" s="519"/>
      <c r="CD109" s="519"/>
    </row>
    <row r="110" spans="21:82" ht="15.75" x14ac:dyDescent="0.25">
      <c r="Y110" s="120"/>
      <c r="Z110" s="519"/>
      <c r="AA110" s="519"/>
      <c r="AB110" s="519"/>
      <c r="AC110" s="519"/>
      <c r="AD110" s="519"/>
      <c r="AE110" s="519"/>
      <c r="AF110" s="519"/>
      <c r="AG110" s="519"/>
      <c r="AH110" s="519"/>
      <c r="AI110" s="519"/>
      <c r="AJ110" s="519"/>
      <c r="AK110" s="519"/>
      <c r="AL110" s="519"/>
      <c r="AM110" s="519"/>
      <c r="AN110" s="519"/>
      <c r="AO110" s="519"/>
      <c r="AP110" s="519"/>
      <c r="AQ110" s="519"/>
      <c r="AR110" s="519"/>
      <c r="AS110" s="519"/>
      <c r="AT110" s="519"/>
      <c r="AU110" s="519"/>
      <c r="AV110" s="519"/>
      <c r="AW110" s="519"/>
      <c r="AX110" s="519"/>
      <c r="AY110" s="519"/>
      <c r="AZ110" s="519"/>
      <c r="BA110" s="519"/>
      <c r="BB110" s="519"/>
      <c r="BC110" s="519"/>
      <c r="BD110" s="519"/>
      <c r="BE110" s="519"/>
      <c r="BF110" s="519"/>
      <c r="BG110" s="519"/>
      <c r="BH110" s="519"/>
      <c r="BI110" s="519"/>
      <c r="BJ110" s="519"/>
      <c r="BK110" s="519"/>
      <c r="BL110" s="519"/>
      <c r="BM110" s="519"/>
      <c r="BN110" s="519"/>
      <c r="BO110" s="519"/>
      <c r="BP110" s="519"/>
      <c r="BQ110" s="519"/>
      <c r="BR110" s="519"/>
      <c r="BS110" s="519"/>
      <c r="BT110" s="519"/>
      <c r="BU110" s="519"/>
      <c r="BV110" s="519"/>
      <c r="BW110" s="519"/>
      <c r="BX110" s="519"/>
      <c r="BY110" s="519"/>
      <c r="BZ110" s="519"/>
      <c r="CA110" s="519"/>
      <c r="CB110" s="519"/>
      <c r="CC110" s="519"/>
      <c r="CD110" s="519"/>
    </row>
    <row r="111" spans="21:82" ht="15.75" x14ac:dyDescent="0.25">
      <c r="Y111" s="120"/>
      <c r="Z111" s="519"/>
      <c r="AA111" s="519"/>
      <c r="AB111" s="519"/>
      <c r="AC111" s="519"/>
      <c r="AD111" s="519"/>
      <c r="AE111" s="519"/>
      <c r="AF111" s="519"/>
      <c r="AG111" s="519"/>
      <c r="AH111" s="519"/>
      <c r="AI111" s="519"/>
      <c r="AJ111" s="519"/>
      <c r="AK111" s="519"/>
      <c r="AL111" s="519"/>
      <c r="AM111" s="519"/>
      <c r="AN111" s="519"/>
      <c r="AO111" s="519"/>
      <c r="AP111" s="519"/>
      <c r="AQ111" s="519"/>
      <c r="AR111" s="519"/>
      <c r="AS111" s="519"/>
      <c r="AT111" s="519"/>
      <c r="AU111" s="519"/>
      <c r="AV111" s="519"/>
      <c r="AW111" s="519"/>
      <c r="AX111" s="519"/>
      <c r="AY111" s="519"/>
      <c r="AZ111" s="519"/>
      <c r="BA111" s="519"/>
      <c r="BB111" s="519"/>
      <c r="BC111" s="519"/>
      <c r="BD111" s="519"/>
      <c r="BE111" s="519"/>
      <c r="BF111" s="519"/>
      <c r="BG111" s="519"/>
      <c r="BH111" s="519"/>
      <c r="BI111" s="519"/>
      <c r="BJ111" s="519"/>
      <c r="BK111" s="519"/>
      <c r="BL111" s="519"/>
      <c r="BM111" s="519"/>
      <c r="BN111" s="519"/>
      <c r="BO111" s="519"/>
      <c r="BP111" s="519"/>
      <c r="BQ111" s="519"/>
      <c r="BR111" s="519"/>
      <c r="BS111" s="519"/>
      <c r="BT111" s="519"/>
      <c r="BU111" s="519"/>
      <c r="BV111" s="519"/>
      <c r="BW111" s="519"/>
      <c r="BX111" s="519"/>
      <c r="BY111" s="519"/>
      <c r="BZ111" s="519"/>
      <c r="CA111" s="519"/>
      <c r="CB111" s="519"/>
      <c r="CC111" s="519"/>
      <c r="CD111" s="519"/>
    </row>
  </sheetData>
  <sheetProtection sheet="1" formatCells="0" formatColumns="0" formatRows="0" selectLockedCells="1"/>
  <mergeCells count="43">
    <mergeCell ref="BD1:BN4"/>
    <mergeCell ref="X50:Y50"/>
    <mergeCell ref="M6:M7"/>
    <mergeCell ref="N6:N7"/>
    <mergeCell ref="O6:P6"/>
    <mergeCell ref="U6:Z6"/>
    <mergeCell ref="P33:P34"/>
    <mergeCell ref="R33:R34"/>
    <mergeCell ref="Q6:R6"/>
    <mergeCell ref="V1:BB3"/>
    <mergeCell ref="AI6:AN6"/>
    <mergeCell ref="AP6:AU6"/>
    <mergeCell ref="AW6:BB6"/>
    <mergeCell ref="AB6:AG6"/>
    <mergeCell ref="H1:I1"/>
    <mergeCell ref="H2:I2"/>
    <mergeCell ref="A4:R4"/>
    <mergeCell ref="A5:R5"/>
    <mergeCell ref="T5:BB5"/>
    <mergeCell ref="A1:B3"/>
    <mergeCell ref="T1:U3"/>
    <mergeCell ref="O1:P3"/>
    <mergeCell ref="B6:B7"/>
    <mergeCell ref="C6:C7"/>
    <mergeCell ref="T4:BB4"/>
    <mergeCell ref="K6:K7"/>
    <mergeCell ref="L6:L7"/>
    <mergeCell ref="BY5:CD5"/>
    <mergeCell ref="CE5:CJ5"/>
    <mergeCell ref="A40:B43"/>
    <mergeCell ref="C40:R42"/>
    <mergeCell ref="C43:R43"/>
    <mergeCell ref="T6:T7"/>
    <mergeCell ref="BD5:BH6"/>
    <mergeCell ref="BJ5:BN6"/>
    <mergeCell ref="BQ5:BR5"/>
    <mergeCell ref="BS5:BX5"/>
    <mergeCell ref="A36:B38"/>
    <mergeCell ref="C36:R38"/>
    <mergeCell ref="D6:F6"/>
    <mergeCell ref="G6:I6"/>
    <mergeCell ref="J6:J7"/>
    <mergeCell ref="A6:A7"/>
  </mergeCells>
  <dataValidations count="2">
    <dataValidation type="list" allowBlank="1" sqref="L8:L31" xr:uid="{00000000-0002-0000-0600-000000000000}">
      <formula1>CM$6:CM$10</formula1>
    </dataValidation>
    <dataValidation type="list" allowBlank="1" sqref="J8:J31" xr:uid="{00000000-0002-0000-0600-000001000000}">
      <formula1>CM$17:CM$20</formula1>
    </dataValidation>
  </dataValidations>
  <pageMargins left="0.7" right="0.7" top="0.75" bottom="0.75" header="0.3" footer="0.3"/>
  <pageSetup paperSize="9" scale="49" fitToHeight="0" orientation="landscape" r:id="rId1"/>
  <colBreaks count="3" manualBreakCount="3">
    <brk id="18" max="31" man="1"/>
    <brk id="54" max="31" man="1"/>
    <brk id="67" max="31"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2000000}">
          <x14:formula1>
            <xm:f>Düngemittel!$B$6:$B$64</xm:f>
          </x14:formula1>
          <xm:sqref>AJ8:AJ31 AQ8:AQ31 AX8:AX31 V8:V31 AC8:AC31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sheetPr>
  <dimension ref="A1:BX113"/>
  <sheetViews>
    <sheetView topLeftCell="D1" zoomScale="90" zoomScaleNormal="90" zoomScalePageLayoutView="60" workbookViewId="0">
      <selection activeCell="AC9" sqref="AC9"/>
    </sheetView>
  </sheetViews>
  <sheetFormatPr baseColWidth="10" defaultRowHeight="15" x14ac:dyDescent="0.25"/>
  <cols>
    <col min="1" max="1" width="19.5703125" style="112" customWidth="1"/>
    <col min="2" max="2" width="12.5703125" style="80" customWidth="1"/>
    <col min="3" max="3" width="42.7109375" style="80" customWidth="1"/>
    <col min="4" max="4" width="10.42578125" style="112" customWidth="1"/>
    <col min="5" max="5" width="11" style="80" customWidth="1"/>
    <col min="6" max="6" width="11.140625" style="80" customWidth="1"/>
    <col min="7" max="7" width="8.42578125" style="80" customWidth="1"/>
    <col min="8" max="8" width="10.140625" style="80" customWidth="1"/>
    <col min="9" max="9" width="13.42578125" style="80" customWidth="1"/>
    <col min="10" max="10" width="17.42578125" style="80" customWidth="1"/>
    <col min="11" max="11" width="6.28515625" style="80" customWidth="1"/>
    <col min="12" max="12" width="16.140625" style="80" customWidth="1"/>
    <col min="13" max="13" width="10.85546875" style="112" customWidth="1"/>
    <col min="14" max="14" width="12.7109375" style="241" customWidth="1"/>
    <col min="15" max="15" width="10.85546875" style="80" customWidth="1"/>
    <col min="16" max="16" width="11.7109375" style="80" customWidth="1"/>
    <col min="17" max="17" width="2.5703125" style="80" customWidth="1"/>
    <col min="18" max="18" width="15" style="80" customWidth="1"/>
    <col min="19" max="19" width="11.42578125" style="80" customWidth="1"/>
    <col min="20" max="20" width="9.5703125" style="80" customWidth="1"/>
    <col min="21" max="21" width="13.140625" style="80" customWidth="1"/>
    <col min="22" max="22" width="7.28515625" style="80" customWidth="1"/>
    <col min="23" max="25" width="7.140625" style="80" customWidth="1"/>
    <col min="26" max="26" width="1.28515625" style="80" customWidth="1"/>
    <col min="27" max="27" width="9.42578125" style="80" customWidth="1"/>
    <col min="28" max="28" width="13.140625" style="80" customWidth="1"/>
    <col min="29" max="32" width="7.28515625" style="80" customWidth="1"/>
    <col min="33" max="33" width="1.5703125" style="80" customWidth="1"/>
    <col min="34" max="34" width="9.5703125" style="80" customWidth="1"/>
    <col min="35" max="35" width="13.140625" style="80" customWidth="1"/>
    <col min="36" max="36" width="7.28515625" style="80" customWidth="1"/>
    <col min="37" max="39" width="7.140625" style="80" customWidth="1"/>
    <col min="40" max="40" width="1.85546875" style="80" customWidth="1"/>
    <col min="41" max="46" width="3" style="80" customWidth="1"/>
    <col min="47" max="47" width="1.5703125" style="80" customWidth="1"/>
    <col min="48" max="54" width="2.5703125" style="80" customWidth="1"/>
    <col min="55" max="55" width="7.28515625" style="80" customWidth="1"/>
    <col min="56" max="57" width="7.140625" style="80" customWidth="1"/>
    <col min="58" max="58" width="9.140625" style="80" customWidth="1"/>
    <col min="59" max="59" width="7.5703125" style="80" customWidth="1"/>
    <col min="60" max="60" width="2.140625" style="80" customWidth="1"/>
    <col min="61" max="61" width="7.28515625" style="80" customWidth="1"/>
    <col min="62" max="63" width="7.140625" style="80" customWidth="1"/>
    <col min="64" max="64" width="8.85546875" style="80" customWidth="1"/>
    <col min="65" max="65" width="8" style="80" customWidth="1"/>
    <col min="66" max="66" width="5.7109375" style="80" customWidth="1"/>
    <col min="67" max="67" width="50.7109375" style="80" customWidth="1"/>
    <col min="68" max="68" width="10" style="80" customWidth="1"/>
    <col min="69" max="69" width="11.7109375" style="80" customWidth="1"/>
    <col min="70" max="70" width="12" style="80" customWidth="1"/>
    <col min="71" max="71" width="27.5703125" style="80" customWidth="1"/>
    <col min="72" max="16384" width="11.42578125" style="80"/>
  </cols>
  <sheetData>
    <row r="1" spans="1:76" ht="15.75" customHeight="1" x14ac:dyDescent="0.25">
      <c r="A1" s="269"/>
      <c r="B1" s="270"/>
      <c r="C1" s="396" t="str">
        <f>'DüV-N-Ackerbau (1)'!C1</f>
        <v>Testbetrieb</v>
      </c>
      <c r="D1" s="396"/>
      <c r="E1" s="396" t="str">
        <f>'DüV-N-Ackerbau (1)'!F1</f>
        <v>Erntejahr</v>
      </c>
      <c r="F1" s="374"/>
      <c r="G1" s="448"/>
      <c r="H1" s="1352" t="s">
        <v>34</v>
      </c>
      <c r="I1" s="1353"/>
      <c r="J1" s="448"/>
      <c r="K1" s="448"/>
      <c r="L1" s="448"/>
      <c r="M1" s="448"/>
      <c r="N1" s="477"/>
      <c r="O1" s="448"/>
      <c r="P1" s="448"/>
    </row>
    <row r="2" spans="1:76" ht="24.75" customHeight="1" x14ac:dyDescent="0.25">
      <c r="A2" s="271"/>
      <c r="B2" s="15"/>
      <c r="C2" s="112">
        <f>'DüV-N-Ackerbau (1)'!C2</f>
        <v>1</v>
      </c>
      <c r="D2" s="15"/>
      <c r="E2" s="112">
        <f>'DüV-N-Ackerbau (1)'!G1</f>
        <v>2022</v>
      </c>
      <c r="F2" s="15"/>
      <c r="G2" s="112"/>
      <c r="H2" s="1356" t="s">
        <v>36</v>
      </c>
      <c r="I2" s="1336"/>
      <c r="M2" s="80"/>
      <c r="N2" s="474"/>
      <c r="BC2" s="1286" t="s">
        <v>1169</v>
      </c>
      <c r="BD2" s="1286"/>
      <c r="BE2" s="1286"/>
      <c r="BF2" s="1286"/>
      <c r="BG2" s="1286"/>
      <c r="BH2" s="1286"/>
      <c r="BI2" s="1286"/>
      <c r="BJ2" s="1286"/>
      <c r="BK2" s="1286"/>
      <c r="BL2" s="1286"/>
      <c r="BM2" s="1286"/>
    </row>
    <row r="3" spans="1:76" ht="24.75" customHeight="1" thickBot="1" x14ac:dyDescent="0.3">
      <c r="A3" s="793"/>
      <c r="B3" s="794"/>
      <c r="C3" s="795">
        <f>'DüV-N-Ackerbau (1)'!C3</f>
        <v>123456</v>
      </c>
      <c r="D3" s="794"/>
      <c r="E3" s="794"/>
      <c r="F3" s="794"/>
      <c r="G3" s="371"/>
      <c r="H3" s="371"/>
      <c r="I3" s="371"/>
      <c r="J3" s="371"/>
      <c r="K3" s="371"/>
      <c r="L3" s="783"/>
      <c r="M3" s="796"/>
      <c r="N3" s="796"/>
      <c r="O3" s="796"/>
      <c r="P3" s="796"/>
      <c r="Q3" s="124"/>
      <c r="R3" s="124"/>
      <c r="S3" s="124"/>
      <c r="T3" s="124"/>
      <c r="U3" s="124"/>
      <c r="V3" s="124"/>
      <c r="W3" s="124"/>
      <c r="X3" s="124"/>
      <c r="Y3" s="124"/>
      <c r="Z3" s="124"/>
      <c r="AA3" s="124"/>
      <c r="AB3" s="124"/>
      <c r="AC3" s="124"/>
      <c r="AD3" s="124"/>
      <c r="AE3" s="124"/>
      <c r="BC3" s="1286"/>
      <c r="BD3" s="1286"/>
      <c r="BE3" s="1286"/>
      <c r="BF3" s="1286"/>
      <c r="BG3" s="1286"/>
      <c r="BH3" s="1286"/>
      <c r="BI3" s="1286"/>
      <c r="BJ3" s="1286"/>
      <c r="BK3" s="1286"/>
      <c r="BL3" s="1286"/>
      <c r="BM3" s="1286"/>
    </row>
    <row r="4" spans="1:76" ht="34.5" customHeight="1" thickBot="1" x14ac:dyDescent="0.3">
      <c r="A4" s="1397" t="s">
        <v>1238</v>
      </c>
      <c r="B4" s="1398"/>
      <c r="C4" s="1398"/>
      <c r="D4" s="1398"/>
      <c r="E4" s="1398"/>
      <c r="F4" s="1398"/>
      <c r="G4" s="1398"/>
      <c r="H4" s="1398"/>
      <c r="I4" s="1398"/>
      <c r="J4" s="1398"/>
      <c r="K4" s="1398"/>
      <c r="L4" s="1398"/>
      <c r="M4" s="1398"/>
      <c r="N4" s="1398"/>
      <c r="O4" s="1399"/>
      <c r="P4" s="1400"/>
      <c r="R4" s="1453" t="s">
        <v>1164</v>
      </c>
      <c r="S4" s="1454"/>
      <c r="T4" s="1454"/>
      <c r="U4" s="1454"/>
      <c r="V4" s="1454"/>
      <c r="W4" s="1454"/>
      <c r="X4" s="1454"/>
      <c r="Y4" s="1454"/>
      <c r="Z4" s="1454"/>
      <c r="AA4" s="1454"/>
      <c r="AB4" s="1454"/>
      <c r="AC4" s="1454"/>
      <c r="AD4" s="1454"/>
      <c r="AE4" s="1454"/>
      <c r="AF4" s="1454"/>
      <c r="AG4" s="1454"/>
      <c r="AH4" s="1454"/>
      <c r="AI4" s="1454"/>
      <c r="AJ4" s="1454"/>
      <c r="AK4" s="1454"/>
      <c r="AL4" s="1454"/>
      <c r="AM4" s="1454"/>
      <c r="AN4" s="1454"/>
      <c r="AO4" s="1454"/>
      <c r="AP4" s="1454"/>
      <c r="AQ4" s="1454"/>
      <c r="AR4" s="1454"/>
      <c r="AS4" s="1454"/>
      <c r="AT4" s="1454"/>
      <c r="AU4" s="1454"/>
      <c r="AV4" s="1454"/>
      <c r="AW4" s="1454"/>
      <c r="AX4" s="1454"/>
      <c r="AY4" s="1454"/>
      <c r="AZ4" s="1454"/>
      <c r="BA4" s="1455"/>
      <c r="BC4" s="1286"/>
      <c r="BD4" s="1286"/>
      <c r="BE4" s="1286"/>
      <c r="BF4" s="1286"/>
      <c r="BG4" s="1286"/>
      <c r="BH4" s="1286"/>
      <c r="BI4" s="1286"/>
      <c r="BJ4" s="1286"/>
      <c r="BK4" s="1286"/>
      <c r="BL4" s="1286"/>
      <c r="BM4" s="1286"/>
    </row>
    <row r="5" spans="1:76" ht="19.5" customHeight="1" thickBot="1" x14ac:dyDescent="0.3">
      <c r="A5" s="1308" t="s">
        <v>1165</v>
      </c>
      <c r="B5" s="1401"/>
      <c r="C5" s="1401"/>
      <c r="D5" s="1401"/>
      <c r="E5" s="1401"/>
      <c r="F5" s="1401"/>
      <c r="G5" s="1401"/>
      <c r="H5" s="1401"/>
      <c r="I5" s="1401"/>
      <c r="J5" s="1401"/>
      <c r="K5" s="1401"/>
      <c r="L5" s="1401"/>
      <c r="M5" s="1401"/>
      <c r="N5" s="1401"/>
      <c r="O5" s="1401"/>
      <c r="P5" s="1309"/>
      <c r="Q5" s="400"/>
      <c r="R5" s="1456" t="s">
        <v>1033</v>
      </c>
      <c r="S5" s="1457"/>
      <c r="T5" s="1457"/>
      <c r="U5" s="1457"/>
      <c r="V5" s="1457"/>
      <c r="W5" s="1457"/>
      <c r="X5" s="1457"/>
      <c r="Y5" s="1457"/>
      <c r="Z5" s="1457"/>
      <c r="AA5" s="1457"/>
      <c r="AB5" s="1457"/>
      <c r="AC5" s="1457"/>
      <c r="AD5" s="1457"/>
      <c r="AE5" s="1457"/>
      <c r="AF5" s="1457"/>
      <c r="AG5" s="1457"/>
      <c r="AH5" s="1457"/>
      <c r="AI5" s="1457"/>
      <c r="AJ5" s="1457"/>
      <c r="AK5" s="1457"/>
      <c r="AL5" s="1457"/>
      <c r="AM5" s="1457"/>
      <c r="AN5" s="1457"/>
      <c r="AO5" s="1457"/>
      <c r="AP5" s="1457"/>
      <c r="AQ5" s="1457"/>
      <c r="AR5" s="1457"/>
      <c r="AS5" s="1457"/>
      <c r="AT5" s="1457"/>
      <c r="AU5" s="1457"/>
      <c r="AV5" s="1457"/>
      <c r="AW5" s="1457"/>
      <c r="AX5" s="1457"/>
      <c r="AY5" s="1457"/>
      <c r="AZ5" s="1457"/>
      <c r="BA5" s="1458"/>
      <c r="BB5" s="181"/>
      <c r="BC5" s="1402" t="s">
        <v>1081</v>
      </c>
      <c r="BD5" s="1396"/>
      <c r="BE5" s="1396"/>
      <c r="BF5" s="1396"/>
      <c r="BG5" s="1396"/>
      <c r="BH5" s="181"/>
      <c r="BI5" s="1403" t="s">
        <v>1092</v>
      </c>
      <c r="BJ5" s="1379"/>
      <c r="BK5" s="1379"/>
      <c r="BL5" s="1379"/>
      <c r="BM5" s="1380"/>
      <c r="BN5" s="123"/>
      <c r="BQ5" s="16"/>
      <c r="BS5" s="737"/>
      <c r="BT5" s="738"/>
      <c r="BU5" s="739"/>
      <c r="BV5" s="739"/>
      <c r="BW5" s="739"/>
      <c r="BX5" s="739"/>
    </row>
    <row r="6" spans="1:76" ht="24" customHeight="1" x14ac:dyDescent="0.25">
      <c r="A6" s="1363" t="s">
        <v>1091</v>
      </c>
      <c r="B6" s="1406" t="s">
        <v>570</v>
      </c>
      <c r="C6" s="1408" t="s">
        <v>1133</v>
      </c>
      <c r="D6" s="1409" t="s">
        <v>301</v>
      </c>
      <c r="E6" s="1410"/>
      <c r="F6" s="1411"/>
      <c r="G6" s="1409" t="s">
        <v>302</v>
      </c>
      <c r="H6" s="1410"/>
      <c r="I6" s="1411"/>
      <c r="J6" s="1305" t="s">
        <v>250</v>
      </c>
      <c r="K6" s="1383" t="s">
        <v>163</v>
      </c>
      <c r="L6" s="1404" t="s">
        <v>1071</v>
      </c>
      <c r="M6" s="1316" t="s">
        <v>1028</v>
      </c>
      <c r="N6" s="1317"/>
      <c r="O6" s="1393" t="s">
        <v>1151</v>
      </c>
      <c r="P6" s="1394"/>
      <c r="Q6" s="519"/>
      <c r="R6" s="1395" t="s">
        <v>1152</v>
      </c>
      <c r="S6" s="1287" t="s">
        <v>631</v>
      </c>
      <c r="T6" s="1392" t="s">
        <v>828</v>
      </c>
      <c r="U6" s="1381"/>
      <c r="V6" s="1381"/>
      <c r="W6" s="1381"/>
      <c r="X6" s="1381"/>
      <c r="Y6" s="1346"/>
      <c r="Z6" s="400"/>
      <c r="AA6" s="1392" t="s">
        <v>851</v>
      </c>
      <c r="AB6" s="1381"/>
      <c r="AC6" s="1381"/>
      <c r="AD6" s="1381"/>
      <c r="AE6" s="1381"/>
      <c r="AF6" s="1346"/>
      <c r="AG6" s="400"/>
      <c r="AH6" s="1392" t="s">
        <v>852</v>
      </c>
      <c r="AI6" s="1381"/>
      <c r="AJ6" s="1381"/>
      <c r="AK6" s="1381"/>
      <c r="AL6" s="1381"/>
      <c r="AM6" s="1346"/>
      <c r="AN6" s="400"/>
      <c r="AO6" s="1392" t="s">
        <v>853</v>
      </c>
      <c r="AP6" s="1381"/>
      <c r="AQ6" s="1381"/>
      <c r="AR6" s="1381"/>
      <c r="AS6" s="1381"/>
      <c r="AT6" s="1346"/>
      <c r="AU6" s="400"/>
      <c r="AV6" s="1392" t="s">
        <v>854</v>
      </c>
      <c r="AW6" s="1381"/>
      <c r="AX6" s="1381"/>
      <c r="AY6" s="1381"/>
      <c r="AZ6" s="1381"/>
      <c r="BA6" s="1346"/>
      <c r="BB6" s="400"/>
      <c r="BC6" s="1286"/>
      <c r="BD6" s="1286"/>
      <c r="BE6" s="1286"/>
      <c r="BF6" s="1286"/>
      <c r="BG6" s="1286"/>
      <c r="BH6" s="400"/>
      <c r="BI6" s="1345"/>
      <c r="BJ6" s="1381"/>
      <c r="BK6" s="1381"/>
      <c r="BL6" s="1381"/>
      <c r="BM6" s="1346"/>
      <c r="BN6" s="123"/>
      <c r="BO6" s="487" t="s">
        <v>248</v>
      </c>
      <c r="BP6" s="487" t="s">
        <v>33</v>
      </c>
      <c r="BQ6" s="487" t="s">
        <v>11</v>
      </c>
      <c r="BR6" s="488" t="s">
        <v>606</v>
      </c>
      <c r="BS6" s="739"/>
      <c r="BT6" s="740"/>
      <c r="BU6" s="741"/>
      <c r="BV6" s="739"/>
      <c r="BW6" s="739"/>
      <c r="BX6" s="739"/>
    </row>
    <row r="7" spans="1:76" s="124" customFormat="1" ht="49.5" customHeight="1" thickBot="1" x14ac:dyDescent="0.3">
      <c r="A7" s="1364"/>
      <c r="B7" s="1407"/>
      <c r="C7" s="1304"/>
      <c r="D7" s="404" t="s">
        <v>85</v>
      </c>
      <c r="E7" s="376" t="s">
        <v>11</v>
      </c>
      <c r="F7" s="405" t="s">
        <v>303</v>
      </c>
      <c r="G7" s="658" t="s">
        <v>85</v>
      </c>
      <c r="H7" s="402" t="s">
        <v>307</v>
      </c>
      <c r="I7" s="411" t="s">
        <v>305</v>
      </c>
      <c r="J7" s="1296"/>
      <c r="K7" s="1283"/>
      <c r="L7" s="1405"/>
      <c r="M7" s="501" t="s">
        <v>328</v>
      </c>
      <c r="N7" s="483" t="s">
        <v>612</v>
      </c>
      <c r="O7" s="486" t="s">
        <v>605</v>
      </c>
      <c r="P7" s="483" t="s">
        <v>612</v>
      </c>
      <c r="Q7" s="723"/>
      <c r="R7" s="1396"/>
      <c r="S7" s="1286"/>
      <c r="T7" s="745" t="s">
        <v>850</v>
      </c>
      <c r="U7" s="744" t="s">
        <v>1038</v>
      </c>
      <c r="V7" s="681" t="s">
        <v>33</v>
      </c>
      <c r="W7" s="312" t="s">
        <v>1078</v>
      </c>
      <c r="X7" s="681" t="s">
        <v>1079</v>
      </c>
      <c r="Y7" s="312" t="s">
        <v>1080</v>
      </c>
      <c r="Z7" s="519"/>
      <c r="AA7" s="745" t="s">
        <v>850</v>
      </c>
      <c r="AB7" s="744" t="s">
        <v>831</v>
      </c>
      <c r="AC7" s="681" t="s">
        <v>33</v>
      </c>
      <c r="AD7" s="312" t="s">
        <v>1078</v>
      </c>
      <c r="AE7" s="681" t="s">
        <v>1079</v>
      </c>
      <c r="AF7" s="312" t="s">
        <v>1080</v>
      </c>
      <c r="AG7" s="519"/>
      <c r="AH7" s="745" t="s">
        <v>850</v>
      </c>
      <c r="AI7" s="744" t="s">
        <v>831</v>
      </c>
      <c r="AJ7" s="681" t="s">
        <v>33</v>
      </c>
      <c r="AK7" s="312" t="s">
        <v>1078</v>
      </c>
      <c r="AL7" s="681" t="s">
        <v>1079</v>
      </c>
      <c r="AM7" s="312" t="s">
        <v>1080</v>
      </c>
      <c r="AN7" s="519"/>
      <c r="AO7" s="745" t="s">
        <v>850</v>
      </c>
      <c r="AP7" s="744" t="s">
        <v>830</v>
      </c>
      <c r="AQ7" s="681" t="s">
        <v>33</v>
      </c>
      <c r="AR7" s="312" t="s">
        <v>1078</v>
      </c>
      <c r="AS7" s="681" t="s">
        <v>1079</v>
      </c>
      <c r="AT7" s="312" t="s">
        <v>1080</v>
      </c>
      <c r="AU7" s="519"/>
      <c r="AV7" s="745" t="s">
        <v>850</v>
      </c>
      <c r="AW7" s="744" t="s">
        <v>830</v>
      </c>
      <c r="AX7" s="681" t="s">
        <v>33</v>
      </c>
      <c r="AY7" s="312" t="s">
        <v>1078</v>
      </c>
      <c r="AZ7" s="681" t="s">
        <v>1079</v>
      </c>
      <c r="BA7" s="312" t="s">
        <v>1080</v>
      </c>
      <c r="BB7" s="519"/>
      <c r="BC7" s="775" t="s">
        <v>1096</v>
      </c>
      <c r="BD7" s="312" t="s">
        <v>1082</v>
      </c>
      <c r="BE7" s="312" t="s">
        <v>1083</v>
      </c>
      <c r="BF7" s="699" t="s">
        <v>1268</v>
      </c>
      <c r="BG7" s="312" t="s">
        <v>290</v>
      </c>
      <c r="BH7" s="519"/>
      <c r="BI7" s="780" t="s">
        <v>1096</v>
      </c>
      <c r="BJ7" s="312" t="s">
        <v>1082</v>
      </c>
      <c r="BK7" s="781" t="s">
        <v>1098</v>
      </c>
      <c r="BL7" s="699" t="s">
        <v>1268</v>
      </c>
      <c r="BM7" s="312" t="s">
        <v>290</v>
      </c>
      <c r="BN7" s="519"/>
      <c r="BO7" s="736" t="s">
        <v>31</v>
      </c>
      <c r="BP7" s="489">
        <v>0</v>
      </c>
      <c r="BQ7" s="489">
        <v>0</v>
      </c>
      <c r="BR7" s="488">
        <v>0</v>
      </c>
      <c r="BS7" s="739"/>
      <c r="BT7" s="741"/>
      <c r="BU7" s="737"/>
      <c r="BV7" s="739"/>
      <c r="BW7" s="596"/>
      <c r="BX7" s="596"/>
    </row>
    <row r="8" spans="1:76" ht="23.25" customHeight="1" x14ac:dyDescent="0.25">
      <c r="A8" s="379" t="s">
        <v>1305</v>
      </c>
      <c r="B8" s="1221">
        <v>5</v>
      </c>
      <c r="C8" s="911" t="s">
        <v>249</v>
      </c>
      <c r="D8" s="406">
        <f t="shared" ref="D8:D31" si="0">VLOOKUP(C8,BO$7:BQ$23,2,FALSE)</f>
        <v>120</v>
      </c>
      <c r="E8" s="383">
        <f t="shared" ref="E8:E31" si="1">VLOOKUP(C8,BO$7:BQ$23,3,FALSE)</f>
        <v>18.2</v>
      </c>
      <c r="F8" s="407">
        <f>D8*E8/6.25</f>
        <v>349.44</v>
      </c>
      <c r="G8" s="1237">
        <v>100</v>
      </c>
      <c r="H8" s="1232">
        <v>18.2</v>
      </c>
      <c r="I8" s="412">
        <f>G8*H8/6.25</f>
        <v>291.2</v>
      </c>
      <c r="J8" s="432">
        <v>50</v>
      </c>
      <c r="K8" s="426">
        <f>IF(J8="Reinbestand",I8,J8*3)</f>
        <v>150</v>
      </c>
      <c r="L8" s="1239"/>
      <c r="M8" s="586">
        <f t="shared" ref="M8:M31" si="2">IF(I8-K8-L8&lt;0,0,I8-K8-L8)</f>
        <v>141.19999999999999</v>
      </c>
      <c r="N8" s="495">
        <f t="shared" ref="N8:N31" si="3">IF(M8&lt;0,0,M8*B8)</f>
        <v>706</v>
      </c>
      <c r="O8" s="497">
        <f t="shared" ref="O8:O31" si="4">G8*VLOOKUP(C8,BO$7:BR$21,4,FALSE)</f>
        <v>75</v>
      </c>
      <c r="P8" s="434">
        <f t="shared" ref="P8:P31" si="5">B8*O8</f>
        <v>375</v>
      </c>
      <c r="Q8" s="474"/>
      <c r="R8" s="775" t="str">
        <f>$A8</f>
        <v>Ackerfutter</v>
      </c>
      <c r="S8" s="775" t="str">
        <f>C8</f>
        <v>Klee-/Luz.gras, 3-4 Schn.</v>
      </c>
      <c r="T8" s="899">
        <v>44635</v>
      </c>
      <c r="U8" s="900" t="s">
        <v>841</v>
      </c>
      <c r="V8" s="978">
        <v>2.5</v>
      </c>
      <c r="W8" s="751">
        <f>VLOOKUP(U8,Düngemittel!$B$6:$E$64,2,FALSE)*(VLOOKUP(U8,Düngemittel!$B$6:$E$64,3,FALSE))/100*V8</f>
        <v>67.5</v>
      </c>
      <c r="X8" s="687">
        <f>VLOOKUP(U8,Düngemittel!$B$6:$E$64,2,FALSE)*V8</f>
        <v>67.5</v>
      </c>
      <c r="Y8" s="687">
        <f>VLOOKUP(U8,Düngemittel!$B$6:$E$64,4,FALSE)*V8</f>
        <v>0</v>
      </c>
      <c r="Z8" s="666"/>
      <c r="AA8" s="899">
        <v>44844</v>
      </c>
      <c r="AB8" s="900" t="s">
        <v>1054</v>
      </c>
      <c r="AC8" s="978">
        <v>200</v>
      </c>
      <c r="AD8" s="751">
        <f>VLOOKUP(AB8,Düngemittel!$B$6:$E$64,2,FALSE)*(VLOOKUP(AB8,Düngemittel!$B$6:$E$64,3,FALSE))/100*AC8</f>
        <v>43.199999999999996</v>
      </c>
      <c r="AE8" s="687">
        <f>VLOOKUP(AB8,Düngemittel!$B$6:$E$64,2,FALSE)*AC8</f>
        <v>72</v>
      </c>
      <c r="AF8" s="687">
        <f>VLOOKUP(AB8,Düngemittel!$B$6:$E$64,4,FALSE)*AC8</f>
        <v>30</v>
      </c>
      <c r="AG8" s="666"/>
      <c r="AH8" s="899"/>
      <c r="AI8" s="900" t="s">
        <v>805</v>
      </c>
      <c r="AJ8" s="978">
        <v>0</v>
      </c>
      <c r="AK8" s="751">
        <f>VLOOKUP(AI8,Düngemittel!$B$6:$E$64,2,FALSE)*(VLOOKUP(AI8,Düngemittel!$B$6:$E$64,3,FALSE))/100*AJ8</f>
        <v>0</v>
      </c>
      <c r="AL8" s="687">
        <f>VLOOKUP(AI8,Düngemittel!$B$6:$E$64,2,FALSE)*AJ8</f>
        <v>0</v>
      </c>
      <c r="AM8" s="687">
        <f>VLOOKUP(AI8,Düngemittel!$B$6:$E$64,4,FALSE)*AJ8</f>
        <v>0</v>
      </c>
      <c r="AN8" s="666"/>
      <c r="AO8" s="899"/>
      <c r="AP8" s="900" t="s">
        <v>805</v>
      </c>
      <c r="AQ8" s="978">
        <v>0</v>
      </c>
      <c r="AR8" s="751">
        <f>VLOOKUP(AP8,Düngemittel!$B$6:$E$64,2,FALSE)*(VLOOKUP(AP8,Düngemittel!$B$6:$E$64,3,FALSE))/100*AQ8</f>
        <v>0</v>
      </c>
      <c r="AS8" s="687">
        <f>VLOOKUP(AP8,Düngemittel!$B$6:$E$64,2,FALSE)*AQ8</f>
        <v>0</v>
      </c>
      <c r="AT8" s="687">
        <f>VLOOKUP(AP8,Düngemittel!$B$6:$E$64,4,FALSE)*AQ8</f>
        <v>0</v>
      </c>
      <c r="AU8" s="666"/>
      <c r="AV8" s="899"/>
      <c r="AW8" s="900" t="s">
        <v>805</v>
      </c>
      <c r="AX8" s="978">
        <v>0</v>
      </c>
      <c r="AY8" s="751">
        <f>VLOOKUP(AW8,Düngemittel!$B$6:$E$64,2,FALSE)*(VLOOKUP(AW8,Düngemittel!$B$6:$E$64,3,FALSE))/100*AX8</f>
        <v>0</v>
      </c>
      <c r="AZ8" s="687">
        <f>VLOOKUP(AW8,Düngemittel!$B$6:$E$64,2,FALSE)*AX8</f>
        <v>0</v>
      </c>
      <c r="BA8" s="687">
        <f>VLOOKUP(AW8,Düngemittel!$B$6:$E$64,4,FALSE)*AX8</f>
        <v>0</v>
      </c>
      <c r="BB8" s="666"/>
      <c r="BC8" s="853">
        <f>IF(W8&lt;X8,0,W8)+IF(AD8&lt;AE8,0,AD8)+IF(AK8&lt;AL8,0,AK8)+IF(AR8&lt;AS8,0,AR8)+IF(AY8&lt;AZ8,0,AY8)</f>
        <v>67.5</v>
      </c>
      <c r="BD8" s="308">
        <f>SUM(W8+AD8+AK8+AR8+AY8)</f>
        <v>110.69999999999999</v>
      </c>
      <c r="BE8" s="853">
        <f>SUM(X8+AE8+AL8+AS8+AZ8)</f>
        <v>139.5</v>
      </c>
      <c r="BF8" s="777">
        <f>IF(W8&lt;X8,X8,0)+IF(AD8&lt;AE8,AE8,0)+IF(AK8&lt;AL8,AL8,0)+IF(AR8&lt;AS8,AS8,0)+IF(AY8&lt;AZ8,AZ8,0)</f>
        <v>72</v>
      </c>
      <c r="BG8" s="308">
        <f>SUM(Y8+AF8+AM8+AT8+BA8)</f>
        <v>30</v>
      </c>
      <c r="BH8" s="785"/>
      <c r="BI8" s="853">
        <f>BC8*$B8</f>
        <v>337.5</v>
      </c>
      <c r="BJ8" s="853">
        <f t="shared" ref="BJ8:BM8" si="6">BD8*$B8</f>
        <v>553.5</v>
      </c>
      <c r="BK8" s="853">
        <f t="shared" si="6"/>
        <v>697.5</v>
      </c>
      <c r="BL8" s="853">
        <f t="shared" si="6"/>
        <v>360</v>
      </c>
      <c r="BM8" s="853">
        <f t="shared" si="6"/>
        <v>150</v>
      </c>
      <c r="BN8" s="16"/>
      <c r="BO8" s="733" t="s">
        <v>245</v>
      </c>
      <c r="BP8" s="488">
        <v>150</v>
      </c>
      <c r="BQ8" s="488">
        <v>16.600000000000001</v>
      </c>
      <c r="BR8" s="490">
        <v>0.8</v>
      </c>
      <c r="BS8" s="739"/>
      <c r="BT8" s="740"/>
      <c r="BU8" s="737"/>
      <c r="BV8" s="739"/>
      <c r="BW8" s="739"/>
      <c r="BX8" s="739"/>
    </row>
    <row r="9" spans="1:76" ht="23.25" customHeight="1" x14ac:dyDescent="0.25">
      <c r="A9" s="342">
        <v>2</v>
      </c>
      <c r="B9" s="1222">
        <v>0</v>
      </c>
      <c r="C9" s="912" t="s">
        <v>31</v>
      </c>
      <c r="D9" s="408">
        <f t="shared" si="0"/>
        <v>0</v>
      </c>
      <c r="E9" s="285">
        <f t="shared" si="1"/>
        <v>0</v>
      </c>
      <c r="F9" s="409">
        <f t="shared" ref="F9:F19" si="7">D9*E9/6.25</f>
        <v>0</v>
      </c>
      <c r="G9" s="1238">
        <v>0</v>
      </c>
      <c r="H9" s="918">
        <v>0</v>
      </c>
      <c r="I9" s="413">
        <f t="shared" ref="I9:I19" si="8">G9*H9/6.25</f>
        <v>0</v>
      </c>
      <c r="J9" s="433">
        <v>0</v>
      </c>
      <c r="K9" s="427">
        <f t="shared" ref="K9:K19" si="9">IF(J9="Reinbestand",I9,J9*3)</f>
        <v>0</v>
      </c>
      <c r="L9" s="1220"/>
      <c r="M9" s="587">
        <f t="shared" si="2"/>
        <v>0</v>
      </c>
      <c r="N9" s="435">
        <f t="shared" si="3"/>
        <v>0</v>
      </c>
      <c r="O9" s="498">
        <f t="shared" si="4"/>
        <v>0</v>
      </c>
      <c r="P9" s="495">
        <f t="shared" si="5"/>
        <v>0</v>
      </c>
      <c r="Q9" s="474"/>
      <c r="R9" s="775">
        <f t="shared" ref="R9:R31" si="10">A9</f>
        <v>2</v>
      </c>
      <c r="S9" s="775" t="str">
        <f t="shared" ref="S9:S31" si="11">C9</f>
        <v>keine</v>
      </c>
      <c r="T9" s="886"/>
      <c r="U9" s="900" t="s">
        <v>805</v>
      </c>
      <c r="V9" s="906">
        <v>0</v>
      </c>
      <c r="W9" s="751">
        <f>VLOOKUP(U9,Düngemittel!$B$6:$E$64,2,FALSE)*(VLOOKUP(U9,Düngemittel!$B$6:$E$64,3,FALSE))/100*V9</f>
        <v>0</v>
      </c>
      <c r="X9" s="687">
        <f>VLOOKUP(U9,Düngemittel!$B$6:$E$64,2,FALSE)*V9</f>
        <v>0</v>
      </c>
      <c r="Y9" s="687">
        <f>VLOOKUP(U9,Düngemittel!$B$6:$E$64,4,FALSE)*V9</f>
        <v>0</v>
      </c>
      <c r="Z9" s="666"/>
      <c r="AA9" s="899"/>
      <c r="AB9" s="900" t="s">
        <v>805</v>
      </c>
      <c r="AC9" s="978">
        <v>0</v>
      </c>
      <c r="AD9" s="751">
        <f>VLOOKUP(AB9,Düngemittel!$B$6:$E$64,2,FALSE)*(VLOOKUP(AB9,Düngemittel!$B$6:$E$64,3,FALSE))/100*AC9</f>
        <v>0</v>
      </c>
      <c r="AE9" s="687">
        <f>VLOOKUP(AB9,Düngemittel!$B$6:$E$64,2,FALSE)*AC9</f>
        <v>0</v>
      </c>
      <c r="AF9" s="687">
        <f>VLOOKUP(AB9,Düngemittel!$B$6:$E$64,4,FALSE)*AC9</f>
        <v>0</v>
      </c>
      <c r="AG9" s="666"/>
      <c r="AH9" s="899"/>
      <c r="AI9" s="900" t="s">
        <v>805</v>
      </c>
      <c r="AJ9" s="978">
        <v>0</v>
      </c>
      <c r="AK9" s="751">
        <f>VLOOKUP(AI9,Düngemittel!$B$6:$E$64,2,FALSE)*(VLOOKUP(AI9,Düngemittel!$B$6:$E$64,3,FALSE))/100*AJ9</f>
        <v>0</v>
      </c>
      <c r="AL9" s="687">
        <f>VLOOKUP(AI9,Düngemittel!$B$6:$E$64,2,FALSE)*AJ9</f>
        <v>0</v>
      </c>
      <c r="AM9" s="687">
        <f>VLOOKUP(AI9,Düngemittel!$B$6:$E$64,4,FALSE)*AJ9</f>
        <v>0</v>
      </c>
      <c r="AN9" s="666"/>
      <c r="AO9" s="899"/>
      <c r="AP9" s="900" t="s">
        <v>805</v>
      </c>
      <c r="AQ9" s="978">
        <v>0</v>
      </c>
      <c r="AR9" s="751">
        <f>VLOOKUP(AP9,Düngemittel!$B$6:$E$64,2,FALSE)*(VLOOKUP(AP9,Düngemittel!$B$6:$E$64,3,FALSE))/100*AQ9</f>
        <v>0</v>
      </c>
      <c r="AS9" s="687">
        <f>VLOOKUP(AP9,Düngemittel!$B$6:$E$64,2,FALSE)*AQ9</f>
        <v>0</v>
      </c>
      <c r="AT9" s="687">
        <f>VLOOKUP(AP9,Düngemittel!$B$6:$E$64,4,FALSE)*AQ9</f>
        <v>0</v>
      </c>
      <c r="AU9" s="666"/>
      <c r="AV9" s="899"/>
      <c r="AW9" s="900" t="s">
        <v>805</v>
      </c>
      <c r="AX9" s="978">
        <v>0</v>
      </c>
      <c r="AY9" s="751">
        <f>VLOOKUP(AW9,Düngemittel!$B$6:$E$64,2,FALSE)*(VLOOKUP(AW9,Düngemittel!$B$6:$E$64,3,FALSE))/100*AX9</f>
        <v>0</v>
      </c>
      <c r="AZ9" s="687">
        <f>VLOOKUP(AW9,Düngemittel!$B$6:$E$64,2,FALSE)*AX9</f>
        <v>0</v>
      </c>
      <c r="BA9" s="687">
        <f>VLOOKUP(AW9,Düngemittel!$B$6:$E$64,4,FALSE)*AX9</f>
        <v>0</v>
      </c>
      <c r="BB9" s="666"/>
      <c r="BC9" s="853">
        <f t="shared" ref="BC9:BC31" si="12">IF(W9&lt;X9,0,W9)+IF(AD9&lt;AE9,0,AD9)+IF(AK9&lt;AL9,0,AK9)+IF(AR9&lt;AS9,0,AR9)+IF(AY9&lt;AZ9,0,AY9)</f>
        <v>0</v>
      </c>
      <c r="BD9" s="308">
        <f t="shared" ref="BD9:BE31" si="13">SUM(W9+AD9+AK9+AR9+AY9)</f>
        <v>0</v>
      </c>
      <c r="BE9" s="853">
        <f t="shared" si="13"/>
        <v>0</v>
      </c>
      <c r="BF9" s="777">
        <f t="shared" ref="BF9:BF31" si="14">IF(W9&lt;X9,X9,0)+IF(AD9&lt;AE9,AE9,0)+IF(AK9&lt;AL9,AL9,0)+IF(AR9&lt;AS9,AS9,0)+IF(AY9&lt;AZ9,AZ9,0)</f>
        <v>0</v>
      </c>
      <c r="BG9" s="308">
        <f t="shared" ref="BG9:BG31" si="15">SUM(Y9+AF9+AM9+AT9+BA9)</f>
        <v>0</v>
      </c>
      <c r="BH9" s="785"/>
      <c r="BI9" s="853">
        <f t="shared" ref="BI9:BI31" si="16">BC9*$B9</f>
        <v>0</v>
      </c>
      <c r="BJ9" s="853">
        <f t="shared" ref="BJ9:BJ31" si="17">BD9*$B9</f>
        <v>0</v>
      </c>
      <c r="BK9" s="853">
        <f t="shared" ref="BK9:BK31" si="18">BE9*$B9</f>
        <v>0</v>
      </c>
      <c r="BL9" s="853">
        <f t="shared" ref="BL9:BL31" si="19">BF9*$B9</f>
        <v>0</v>
      </c>
      <c r="BM9" s="853">
        <f t="shared" ref="BM9:BM31" si="20">BG9*$B9</f>
        <v>0</v>
      </c>
      <c r="BN9" s="16"/>
      <c r="BO9" s="733" t="s">
        <v>246</v>
      </c>
      <c r="BP9" s="488">
        <v>120</v>
      </c>
      <c r="BQ9" s="488">
        <v>16.2</v>
      </c>
      <c r="BR9" s="488">
        <v>0.8</v>
      </c>
      <c r="BS9" s="739"/>
      <c r="BT9" s="740"/>
      <c r="BU9" s="737"/>
      <c r="BV9" s="739"/>
      <c r="BW9" s="739"/>
      <c r="BX9" s="739"/>
    </row>
    <row r="10" spans="1:76" ht="23.25" customHeight="1" x14ac:dyDescent="0.25">
      <c r="A10" s="342">
        <v>3</v>
      </c>
      <c r="B10" s="1222">
        <v>0</v>
      </c>
      <c r="C10" s="912" t="s">
        <v>31</v>
      </c>
      <c r="D10" s="408">
        <f t="shared" si="0"/>
        <v>0</v>
      </c>
      <c r="E10" s="285">
        <f t="shared" si="1"/>
        <v>0</v>
      </c>
      <c r="F10" s="409">
        <f t="shared" si="7"/>
        <v>0</v>
      </c>
      <c r="G10" s="1238">
        <v>0</v>
      </c>
      <c r="H10" s="918">
        <v>0</v>
      </c>
      <c r="I10" s="413">
        <f t="shared" si="8"/>
        <v>0</v>
      </c>
      <c r="J10" s="433">
        <v>0</v>
      </c>
      <c r="K10" s="427">
        <f t="shared" si="9"/>
        <v>0</v>
      </c>
      <c r="L10" s="1220"/>
      <c r="M10" s="587">
        <f t="shared" si="2"/>
        <v>0</v>
      </c>
      <c r="N10" s="435">
        <f t="shared" si="3"/>
        <v>0</v>
      </c>
      <c r="O10" s="499">
        <f t="shared" si="4"/>
        <v>0</v>
      </c>
      <c r="P10" s="435">
        <f t="shared" si="5"/>
        <v>0</v>
      </c>
      <c r="Q10" s="474"/>
      <c r="R10" s="775">
        <f t="shared" si="10"/>
        <v>3</v>
      </c>
      <c r="S10" s="775" t="str">
        <f t="shared" si="11"/>
        <v>keine</v>
      </c>
      <c r="T10" s="886"/>
      <c r="U10" s="900" t="s">
        <v>805</v>
      </c>
      <c r="V10" s="906">
        <v>0</v>
      </c>
      <c r="W10" s="751">
        <f>VLOOKUP(U10,Düngemittel!$B$6:$E$64,2,FALSE)*(VLOOKUP(U10,Düngemittel!$B$6:$E$64,3,FALSE))/100*V10</f>
        <v>0</v>
      </c>
      <c r="X10" s="687">
        <f>VLOOKUP(U10,Düngemittel!$B$6:$E$64,2,FALSE)*V10</f>
        <v>0</v>
      </c>
      <c r="Y10" s="687">
        <f>VLOOKUP(U10,Düngemittel!$B$6:$E$64,4,FALSE)*V10</f>
        <v>0</v>
      </c>
      <c r="Z10" s="666"/>
      <c r="AA10" s="899"/>
      <c r="AB10" s="900" t="s">
        <v>805</v>
      </c>
      <c r="AC10" s="978">
        <v>0</v>
      </c>
      <c r="AD10" s="751">
        <f>VLOOKUP(AB10,Düngemittel!$B$6:$E$64,2,FALSE)*(VLOOKUP(AB10,Düngemittel!$B$6:$E$64,3,FALSE))/100*AC10</f>
        <v>0</v>
      </c>
      <c r="AE10" s="687">
        <f>VLOOKUP(AB10,Düngemittel!$B$6:$E$64,2,FALSE)*AC10</f>
        <v>0</v>
      </c>
      <c r="AF10" s="687">
        <f>VLOOKUP(AB10,Düngemittel!$B$6:$E$64,4,FALSE)*AC10</f>
        <v>0</v>
      </c>
      <c r="AG10" s="666"/>
      <c r="AH10" s="899"/>
      <c r="AI10" s="900" t="s">
        <v>805</v>
      </c>
      <c r="AJ10" s="978">
        <v>0</v>
      </c>
      <c r="AK10" s="751">
        <f>VLOOKUP(AI10,Düngemittel!$B$6:$E$64,2,FALSE)*(VLOOKUP(AI10,Düngemittel!$B$6:$E$64,3,FALSE))/100*AJ10</f>
        <v>0</v>
      </c>
      <c r="AL10" s="687">
        <f>VLOOKUP(AI10,Düngemittel!$B$6:$E$64,2,FALSE)*AJ10</f>
        <v>0</v>
      </c>
      <c r="AM10" s="687">
        <f>VLOOKUP(AI10,Düngemittel!$B$6:$E$64,4,FALSE)*AJ10</f>
        <v>0</v>
      </c>
      <c r="AN10" s="666"/>
      <c r="AO10" s="899"/>
      <c r="AP10" s="900" t="s">
        <v>805</v>
      </c>
      <c r="AQ10" s="978">
        <v>0</v>
      </c>
      <c r="AR10" s="751">
        <f>VLOOKUP(AP10,Düngemittel!$B$6:$E$64,2,FALSE)*(VLOOKUP(AP10,Düngemittel!$B$6:$E$64,3,FALSE))/100*AQ10</f>
        <v>0</v>
      </c>
      <c r="AS10" s="687">
        <f>VLOOKUP(AP10,Düngemittel!$B$6:$E$64,2,FALSE)*AQ10</f>
        <v>0</v>
      </c>
      <c r="AT10" s="687">
        <f>VLOOKUP(AP10,Düngemittel!$B$6:$E$64,4,FALSE)*AQ10</f>
        <v>0</v>
      </c>
      <c r="AU10" s="666"/>
      <c r="AV10" s="899"/>
      <c r="AW10" s="900" t="s">
        <v>805</v>
      </c>
      <c r="AX10" s="978">
        <v>0</v>
      </c>
      <c r="AY10" s="751">
        <f>VLOOKUP(AW10,Düngemittel!$B$6:$E$64,2,FALSE)*(VLOOKUP(AW10,Düngemittel!$B$6:$E$64,3,FALSE))/100*AX10</f>
        <v>0</v>
      </c>
      <c r="AZ10" s="687">
        <f>VLOOKUP(AW10,Düngemittel!$B$6:$E$64,2,FALSE)*AX10</f>
        <v>0</v>
      </c>
      <c r="BA10" s="687">
        <f>VLOOKUP(AW10,Düngemittel!$B$6:$E$64,4,FALSE)*AX10</f>
        <v>0</v>
      </c>
      <c r="BB10" s="666"/>
      <c r="BC10" s="853">
        <f t="shared" si="12"/>
        <v>0</v>
      </c>
      <c r="BD10" s="308">
        <f t="shared" si="13"/>
        <v>0</v>
      </c>
      <c r="BE10" s="853">
        <f t="shared" si="13"/>
        <v>0</v>
      </c>
      <c r="BF10" s="777">
        <f t="shared" si="14"/>
        <v>0</v>
      </c>
      <c r="BG10" s="308">
        <f t="shared" si="15"/>
        <v>0</v>
      </c>
      <c r="BH10" s="785"/>
      <c r="BI10" s="853">
        <f t="shared" si="16"/>
        <v>0</v>
      </c>
      <c r="BJ10" s="853">
        <f t="shared" si="17"/>
        <v>0</v>
      </c>
      <c r="BK10" s="853">
        <f t="shared" si="18"/>
        <v>0</v>
      </c>
      <c r="BL10" s="853">
        <f t="shared" si="19"/>
        <v>0</v>
      </c>
      <c r="BM10" s="853">
        <f t="shared" si="20"/>
        <v>0</v>
      </c>
      <c r="BN10" s="16"/>
      <c r="BO10" s="734" t="s">
        <v>742</v>
      </c>
      <c r="BP10" s="638">
        <v>120</v>
      </c>
      <c r="BQ10" s="638">
        <v>16.2</v>
      </c>
      <c r="BR10" s="638">
        <v>0.8</v>
      </c>
      <c r="BS10" s="739"/>
      <c r="BT10" s="740"/>
      <c r="BU10" s="737"/>
      <c r="BV10" s="739"/>
      <c r="BW10" s="739"/>
      <c r="BX10" s="739"/>
    </row>
    <row r="11" spans="1:76" ht="23.25" customHeight="1" x14ac:dyDescent="0.25">
      <c r="A11" s="342">
        <v>4</v>
      </c>
      <c r="B11" s="1222">
        <v>0</v>
      </c>
      <c r="C11" s="645" t="s">
        <v>31</v>
      </c>
      <c r="D11" s="408">
        <f t="shared" si="0"/>
        <v>0</v>
      </c>
      <c r="E11" s="285">
        <f t="shared" si="1"/>
        <v>0</v>
      </c>
      <c r="F11" s="409">
        <f t="shared" si="7"/>
        <v>0</v>
      </c>
      <c r="G11" s="1238">
        <v>0</v>
      </c>
      <c r="H11" s="918">
        <v>0</v>
      </c>
      <c r="I11" s="413">
        <f t="shared" si="8"/>
        <v>0</v>
      </c>
      <c r="J11" s="437">
        <v>0</v>
      </c>
      <c r="K11" s="427">
        <f t="shared" si="9"/>
        <v>0</v>
      </c>
      <c r="L11" s="1220"/>
      <c r="M11" s="587">
        <f t="shared" si="2"/>
        <v>0</v>
      </c>
      <c r="N11" s="435">
        <f t="shared" si="3"/>
        <v>0</v>
      </c>
      <c r="O11" s="499">
        <f t="shared" si="4"/>
        <v>0</v>
      </c>
      <c r="P11" s="435">
        <f t="shared" si="5"/>
        <v>0</v>
      </c>
      <c r="Q11" s="474"/>
      <c r="R11" s="775">
        <f t="shared" si="10"/>
        <v>4</v>
      </c>
      <c r="S11" s="775" t="str">
        <f t="shared" si="11"/>
        <v>keine</v>
      </c>
      <c r="T11" s="901"/>
      <c r="U11" s="900" t="s">
        <v>805</v>
      </c>
      <c r="V11" s="324">
        <v>0</v>
      </c>
      <c r="W11" s="751">
        <f>VLOOKUP(U11,Düngemittel!$B$6:$E$64,2,FALSE)*(VLOOKUP(U11,Düngemittel!$B$6:$E$64,3,FALSE))/100*V11</f>
        <v>0</v>
      </c>
      <c r="X11" s="687">
        <f>VLOOKUP(U11,Düngemittel!$B$6:$E$64,2,FALSE)*V11</f>
        <v>0</v>
      </c>
      <c r="Y11" s="687">
        <f>VLOOKUP(U11,Düngemittel!$B$6:$E$64,4,FALSE)*V11</f>
        <v>0</v>
      </c>
      <c r="Z11" s="666"/>
      <c r="AA11" s="899"/>
      <c r="AB11" s="900" t="s">
        <v>805</v>
      </c>
      <c r="AC11" s="978">
        <v>0</v>
      </c>
      <c r="AD11" s="751">
        <f>VLOOKUP(AB11,Düngemittel!$B$6:$E$64,2,FALSE)*(VLOOKUP(AB11,Düngemittel!$B$6:$E$64,3,FALSE))/100*AC11</f>
        <v>0</v>
      </c>
      <c r="AE11" s="687">
        <f>VLOOKUP(AB11,Düngemittel!$B$6:$E$64,2,FALSE)*AC11</f>
        <v>0</v>
      </c>
      <c r="AF11" s="687">
        <f>VLOOKUP(AB11,Düngemittel!$B$6:$E$64,4,FALSE)*AC11</f>
        <v>0</v>
      </c>
      <c r="AG11" s="666"/>
      <c r="AH11" s="899"/>
      <c r="AI11" s="900" t="s">
        <v>805</v>
      </c>
      <c r="AJ11" s="978">
        <v>0</v>
      </c>
      <c r="AK11" s="751">
        <f>VLOOKUP(AI11,Düngemittel!$B$6:$E$64,2,FALSE)*(VLOOKUP(AI11,Düngemittel!$B$6:$E$64,3,FALSE))/100*AJ11</f>
        <v>0</v>
      </c>
      <c r="AL11" s="687">
        <f>VLOOKUP(AI11,Düngemittel!$B$6:$E$64,2,FALSE)*AJ11</f>
        <v>0</v>
      </c>
      <c r="AM11" s="687">
        <f>VLOOKUP(AI11,Düngemittel!$B$6:$E$64,4,FALSE)*AJ11</f>
        <v>0</v>
      </c>
      <c r="AN11" s="666"/>
      <c r="AO11" s="899"/>
      <c r="AP11" s="900" t="s">
        <v>805</v>
      </c>
      <c r="AQ11" s="978">
        <v>0</v>
      </c>
      <c r="AR11" s="751">
        <f>VLOOKUP(AP11,Düngemittel!$B$6:$E$64,2,FALSE)*(VLOOKUP(AP11,Düngemittel!$B$6:$E$64,3,FALSE))/100*AQ11</f>
        <v>0</v>
      </c>
      <c r="AS11" s="687">
        <f>VLOOKUP(AP11,Düngemittel!$B$6:$E$64,2,FALSE)*AQ11</f>
        <v>0</v>
      </c>
      <c r="AT11" s="687">
        <f>VLOOKUP(AP11,Düngemittel!$B$6:$E$64,4,FALSE)*AQ11</f>
        <v>0</v>
      </c>
      <c r="AU11" s="666"/>
      <c r="AV11" s="899"/>
      <c r="AW11" s="900" t="s">
        <v>805</v>
      </c>
      <c r="AX11" s="978">
        <v>0</v>
      </c>
      <c r="AY11" s="751">
        <f>VLOOKUP(AW11,Düngemittel!$B$6:$E$64,2,FALSE)*(VLOOKUP(AW11,Düngemittel!$B$6:$E$64,3,FALSE))/100*AX11</f>
        <v>0</v>
      </c>
      <c r="AZ11" s="687">
        <f>VLOOKUP(AW11,Düngemittel!$B$6:$E$64,2,FALSE)*AX11</f>
        <v>0</v>
      </c>
      <c r="BA11" s="687">
        <f>VLOOKUP(AW11,Düngemittel!$B$6:$E$64,4,FALSE)*AX11</f>
        <v>0</v>
      </c>
      <c r="BB11" s="666"/>
      <c r="BC11" s="853">
        <f t="shared" si="12"/>
        <v>0</v>
      </c>
      <c r="BD11" s="308">
        <f t="shared" si="13"/>
        <v>0</v>
      </c>
      <c r="BE11" s="853">
        <f t="shared" si="13"/>
        <v>0</v>
      </c>
      <c r="BF11" s="777">
        <f t="shared" si="14"/>
        <v>0</v>
      </c>
      <c r="BG11" s="308">
        <f t="shared" si="15"/>
        <v>0</v>
      </c>
      <c r="BH11" s="785"/>
      <c r="BI11" s="853">
        <f t="shared" si="16"/>
        <v>0</v>
      </c>
      <c r="BJ11" s="853">
        <f t="shared" si="17"/>
        <v>0</v>
      </c>
      <c r="BK11" s="853">
        <f t="shared" si="18"/>
        <v>0</v>
      </c>
      <c r="BL11" s="853">
        <f t="shared" si="19"/>
        <v>0</v>
      </c>
      <c r="BM11" s="853">
        <f t="shared" si="20"/>
        <v>0</v>
      </c>
      <c r="BN11" s="16"/>
      <c r="BO11" s="734" t="s">
        <v>744</v>
      </c>
      <c r="BP11" s="638">
        <v>65</v>
      </c>
      <c r="BQ11" s="638">
        <v>16.2</v>
      </c>
      <c r="BR11" s="638">
        <v>0.8</v>
      </c>
      <c r="BS11" s="739"/>
      <c r="BT11" s="740"/>
      <c r="BU11" s="737"/>
      <c r="BV11" s="739"/>
      <c r="BW11" s="739"/>
      <c r="BX11" s="739"/>
    </row>
    <row r="12" spans="1:76" ht="23.25" customHeight="1" x14ac:dyDescent="0.25">
      <c r="A12" s="342">
        <v>5</v>
      </c>
      <c r="B12" s="1222">
        <v>0</v>
      </c>
      <c r="C12" s="632" t="s">
        <v>31</v>
      </c>
      <c r="D12" s="408">
        <f t="shared" si="0"/>
        <v>0</v>
      </c>
      <c r="E12" s="285">
        <f t="shared" si="1"/>
        <v>0</v>
      </c>
      <c r="F12" s="409">
        <f t="shared" si="7"/>
        <v>0</v>
      </c>
      <c r="G12" s="1238">
        <v>0</v>
      </c>
      <c r="H12" s="918">
        <v>0</v>
      </c>
      <c r="I12" s="413">
        <f t="shared" si="8"/>
        <v>0</v>
      </c>
      <c r="J12" s="433">
        <v>0</v>
      </c>
      <c r="K12" s="427">
        <f t="shared" si="9"/>
        <v>0</v>
      </c>
      <c r="L12" s="1220"/>
      <c r="M12" s="587">
        <f t="shared" si="2"/>
        <v>0</v>
      </c>
      <c r="N12" s="435">
        <f t="shared" si="3"/>
        <v>0</v>
      </c>
      <c r="O12" s="499">
        <f t="shared" si="4"/>
        <v>0</v>
      </c>
      <c r="P12" s="435">
        <f t="shared" si="5"/>
        <v>0</v>
      </c>
      <c r="Q12" s="474"/>
      <c r="R12" s="775">
        <f t="shared" si="10"/>
        <v>5</v>
      </c>
      <c r="S12" s="775" t="str">
        <f t="shared" si="11"/>
        <v>keine</v>
      </c>
      <c r="T12" s="901"/>
      <c r="U12" s="900" t="s">
        <v>805</v>
      </c>
      <c r="V12" s="324">
        <v>0</v>
      </c>
      <c r="W12" s="751">
        <f>VLOOKUP(U12,Düngemittel!$B$6:$E$64,2,FALSE)*(VLOOKUP(U12,Düngemittel!$B$6:$E$64,3,FALSE))/100*V12</f>
        <v>0</v>
      </c>
      <c r="X12" s="687">
        <f>VLOOKUP(U12,Düngemittel!$B$6:$E$64,2,FALSE)*V12</f>
        <v>0</v>
      </c>
      <c r="Y12" s="687">
        <f>VLOOKUP(U12,Düngemittel!$B$6:$E$64,4,FALSE)*V12</f>
        <v>0</v>
      </c>
      <c r="Z12" s="666"/>
      <c r="AA12" s="899"/>
      <c r="AB12" s="900" t="s">
        <v>805</v>
      </c>
      <c r="AC12" s="978">
        <v>0</v>
      </c>
      <c r="AD12" s="751">
        <f>VLOOKUP(AB12,Düngemittel!$B$6:$E$64,2,FALSE)*(VLOOKUP(AB12,Düngemittel!$B$6:$E$64,3,FALSE))/100*AC12</f>
        <v>0</v>
      </c>
      <c r="AE12" s="687">
        <f>VLOOKUP(AB12,Düngemittel!$B$6:$E$64,2,FALSE)*AC12</f>
        <v>0</v>
      </c>
      <c r="AF12" s="687">
        <f>VLOOKUP(AB12,Düngemittel!$B$6:$E$64,4,FALSE)*AC12</f>
        <v>0</v>
      </c>
      <c r="AG12" s="666"/>
      <c r="AH12" s="899"/>
      <c r="AI12" s="900" t="s">
        <v>805</v>
      </c>
      <c r="AJ12" s="978">
        <v>0</v>
      </c>
      <c r="AK12" s="751">
        <f>VLOOKUP(AI12,Düngemittel!$B$6:$E$64,2,FALSE)*(VLOOKUP(AI12,Düngemittel!$B$6:$E$64,3,FALSE))/100*AJ12</f>
        <v>0</v>
      </c>
      <c r="AL12" s="687">
        <f>VLOOKUP(AI12,Düngemittel!$B$6:$E$64,2,FALSE)*AJ12</f>
        <v>0</v>
      </c>
      <c r="AM12" s="687">
        <f>VLOOKUP(AI12,Düngemittel!$B$6:$E$64,4,FALSE)*AJ12</f>
        <v>0</v>
      </c>
      <c r="AN12" s="666"/>
      <c r="AO12" s="899"/>
      <c r="AP12" s="900" t="s">
        <v>805</v>
      </c>
      <c r="AQ12" s="978">
        <v>0</v>
      </c>
      <c r="AR12" s="751">
        <f>VLOOKUP(AP12,Düngemittel!$B$6:$E$64,2,FALSE)*(VLOOKUP(AP12,Düngemittel!$B$6:$E$64,3,FALSE))/100*AQ12</f>
        <v>0</v>
      </c>
      <c r="AS12" s="687">
        <f>VLOOKUP(AP12,Düngemittel!$B$6:$E$64,2,FALSE)*AQ12</f>
        <v>0</v>
      </c>
      <c r="AT12" s="687">
        <f>VLOOKUP(AP12,Düngemittel!$B$6:$E$64,4,FALSE)*AQ12</f>
        <v>0</v>
      </c>
      <c r="AU12" s="666"/>
      <c r="AV12" s="899"/>
      <c r="AW12" s="900" t="s">
        <v>805</v>
      </c>
      <c r="AX12" s="978">
        <v>0</v>
      </c>
      <c r="AY12" s="751">
        <f>VLOOKUP(AW12,Düngemittel!$B$6:$E$64,2,FALSE)*(VLOOKUP(AW12,Düngemittel!$B$6:$E$64,3,FALSE))/100*AX12</f>
        <v>0</v>
      </c>
      <c r="AZ12" s="687">
        <f>VLOOKUP(AW12,Düngemittel!$B$6:$E$64,2,FALSE)*AX12</f>
        <v>0</v>
      </c>
      <c r="BA12" s="687">
        <f>VLOOKUP(AW12,Düngemittel!$B$6:$E$64,4,FALSE)*AX12</f>
        <v>0</v>
      </c>
      <c r="BB12" s="666"/>
      <c r="BC12" s="853">
        <f t="shared" si="12"/>
        <v>0</v>
      </c>
      <c r="BD12" s="308">
        <f t="shared" si="13"/>
        <v>0</v>
      </c>
      <c r="BE12" s="853">
        <f t="shared" si="13"/>
        <v>0</v>
      </c>
      <c r="BF12" s="777">
        <f t="shared" si="14"/>
        <v>0</v>
      </c>
      <c r="BG12" s="308">
        <f t="shared" si="15"/>
        <v>0</v>
      </c>
      <c r="BH12" s="785"/>
      <c r="BI12" s="853">
        <f t="shared" si="16"/>
        <v>0</v>
      </c>
      <c r="BJ12" s="853">
        <f t="shared" si="17"/>
        <v>0</v>
      </c>
      <c r="BK12" s="853">
        <f t="shared" si="18"/>
        <v>0</v>
      </c>
      <c r="BL12" s="853">
        <f t="shared" si="19"/>
        <v>0</v>
      </c>
      <c r="BM12" s="853">
        <f t="shared" si="20"/>
        <v>0</v>
      </c>
      <c r="BN12" s="16"/>
      <c r="BO12" s="734" t="s">
        <v>746</v>
      </c>
      <c r="BP12" s="638">
        <v>75</v>
      </c>
      <c r="BQ12" s="638">
        <v>16.2</v>
      </c>
      <c r="BR12" s="638">
        <v>0.8</v>
      </c>
      <c r="BS12" s="739"/>
      <c r="BT12" s="740"/>
      <c r="BU12" s="737"/>
      <c r="BV12" s="739"/>
      <c r="BW12" s="739"/>
      <c r="BX12" s="739"/>
    </row>
    <row r="13" spans="1:76" ht="23.25" customHeight="1" x14ac:dyDescent="0.25">
      <c r="A13" s="342">
        <v>6</v>
      </c>
      <c r="B13" s="1222">
        <v>0</v>
      </c>
      <c r="C13" s="632" t="s">
        <v>31</v>
      </c>
      <c r="D13" s="408">
        <f t="shared" si="0"/>
        <v>0</v>
      </c>
      <c r="E13" s="285">
        <f t="shared" si="1"/>
        <v>0</v>
      </c>
      <c r="F13" s="409">
        <f t="shared" ref="F13:F17" si="21">D13*E13/6.25</f>
        <v>0</v>
      </c>
      <c r="G13" s="1238">
        <v>0</v>
      </c>
      <c r="H13" s="918">
        <v>0</v>
      </c>
      <c r="I13" s="413">
        <f t="shared" ref="I13:I17" si="22">G13*H13/6.25</f>
        <v>0</v>
      </c>
      <c r="J13" s="433">
        <v>0</v>
      </c>
      <c r="K13" s="427">
        <f t="shared" ref="K13:K17" si="23">IF(J13="Reinbestand",I13,J13*3)</f>
        <v>0</v>
      </c>
      <c r="L13" s="1220"/>
      <c r="M13" s="587">
        <f t="shared" si="2"/>
        <v>0</v>
      </c>
      <c r="N13" s="435">
        <f t="shared" si="3"/>
        <v>0</v>
      </c>
      <c r="O13" s="499">
        <f t="shared" si="4"/>
        <v>0</v>
      </c>
      <c r="P13" s="435">
        <f t="shared" si="5"/>
        <v>0</v>
      </c>
      <c r="Q13" s="474"/>
      <c r="R13" s="775">
        <f t="shared" si="10"/>
        <v>6</v>
      </c>
      <c r="S13" s="775" t="str">
        <f t="shared" si="11"/>
        <v>keine</v>
      </c>
      <c r="T13" s="901"/>
      <c r="U13" s="900" t="s">
        <v>805</v>
      </c>
      <c r="V13" s="324">
        <v>0</v>
      </c>
      <c r="W13" s="751">
        <f>VLOOKUP(U13,Düngemittel!$B$6:$E$64,2,FALSE)*(VLOOKUP(U13,Düngemittel!$B$6:$E$64,3,FALSE))/100*V13</f>
        <v>0</v>
      </c>
      <c r="X13" s="687">
        <f>VLOOKUP(U13,Düngemittel!$B$6:$E$64,2,FALSE)*V13</f>
        <v>0</v>
      </c>
      <c r="Y13" s="687">
        <f>VLOOKUP(U13,Düngemittel!$B$6:$E$64,4,FALSE)*V13</f>
        <v>0</v>
      </c>
      <c r="Z13" s="666"/>
      <c r="AA13" s="899"/>
      <c r="AB13" s="900" t="s">
        <v>805</v>
      </c>
      <c r="AC13" s="978">
        <v>0</v>
      </c>
      <c r="AD13" s="751">
        <f>VLOOKUP(AB13,Düngemittel!$B$6:$E$64,2,FALSE)*(VLOOKUP(AB13,Düngemittel!$B$6:$E$64,3,FALSE))/100*AC13</f>
        <v>0</v>
      </c>
      <c r="AE13" s="687">
        <f>VLOOKUP(AB13,Düngemittel!$B$6:$E$64,2,FALSE)*AC13</f>
        <v>0</v>
      </c>
      <c r="AF13" s="687">
        <f>VLOOKUP(AB13,Düngemittel!$B$6:$E$64,4,FALSE)*AC13</f>
        <v>0</v>
      </c>
      <c r="AG13" s="666"/>
      <c r="AH13" s="899"/>
      <c r="AI13" s="900" t="s">
        <v>805</v>
      </c>
      <c r="AJ13" s="978">
        <v>0</v>
      </c>
      <c r="AK13" s="751">
        <f>VLOOKUP(AI13,Düngemittel!$B$6:$E$64,2,FALSE)*(VLOOKUP(AI13,Düngemittel!$B$6:$E$64,3,FALSE))/100*AJ13</f>
        <v>0</v>
      </c>
      <c r="AL13" s="687">
        <f>VLOOKUP(AI13,Düngemittel!$B$6:$E$64,2,FALSE)*AJ13</f>
        <v>0</v>
      </c>
      <c r="AM13" s="687">
        <f>VLOOKUP(AI13,Düngemittel!$B$6:$E$64,4,FALSE)*AJ13</f>
        <v>0</v>
      </c>
      <c r="AN13" s="666"/>
      <c r="AO13" s="899"/>
      <c r="AP13" s="900" t="s">
        <v>805</v>
      </c>
      <c r="AQ13" s="978">
        <v>0</v>
      </c>
      <c r="AR13" s="751">
        <f>VLOOKUP(AP13,Düngemittel!$B$6:$E$64,2,FALSE)*(VLOOKUP(AP13,Düngemittel!$B$6:$E$64,3,FALSE))/100*AQ13</f>
        <v>0</v>
      </c>
      <c r="AS13" s="687">
        <f>VLOOKUP(AP13,Düngemittel!$B$6:$E$64,2,FALSE)*AQ13</f>
        <v>0</v>
      </c>
      <c r="AT13" s="687">
        <f>VLOOKUP(AP13,Düngemittel!$B$6:$E$64,4,FALSE)*AQ13</f>
        <v>0</v>
      </c>
      <c r="AU13" s="666"/>
      <c r="AV13" s="899"/>
      <c r="AW13" s="900" t="s">
        <v>805</v>
      </c>
      <c r="AX13" s="978">
        <v>0</v>
      </c>
      <c r="AY13" s="751">
        <f>VLOOKUP(AW13,Düngemittel!$B$6:$E$64,2,FALSE)*(VLOOKUP(AW13,Düngemittel!$B$6:$E$64,3,FALSE))/100*AX13</f>
        <v>0</v>
      </c>
      <c r="AZ13" s="687">
        <f>VLOOKUP(AW13,Düngemittel!$B$6:$E$64,2,FALSE)*AX13</f>
        <v>0</v>
      </c>
      <c r="BA13" s="687">
        <f>VLOOKUP(AW13,Düngemittel!$B$6:$E$64,4,FALSE)*AX13</f>
        <v>0</v>
      </c>
      <c r="BB13" s="666"/>
      <c r="BC13" s="853">
        <f t="shared" si="12"/>
        <v>0</v>
      </c>
      <c r="BD13" s="308">
        <f t="shared" si="13"/>
        <v>0</v>
      </c>
      <c r="BE13" s="853">
        <f t="shared" si="13"/>
        <v>0</v>
      </c>
      <c r="BF13" s="777">
        <f t="shared" si="14"/>
        <v>0</v>
      </c>
      <c r="BG13" s="308">
        <f t="shared" si="15"/>
        <v>0</v>
      </c>
      <c r="BH13" s="785"/>
      <c r="BI13" s="853">
        <f t="shared" si="16"/>
        <v>0</v>
      </c>
      <c r="BJ13" s="853">
        <f t="shared" si="17"/>
        <v>0</v>
      </c>
      <c r="BK13" s="853">
        <f t="shared" si="18"/>
        <v>0</v>
      </c>
      <c r="BL13" s="853">
        <f t="shared" si="19"/>
        <v>0</v>
      </c>
      <c r="BM13" s="853">
        <f t="shared" si="20"/>
        <v>0</v>
      </c>
      <c r="BN13" s="16"/>
      <c r="BO13" s="733" t="s">
        <v>249</v>
      </c>
      <c r="BP13" s="488">
        <v>120</v>
      </c>
      <c r="BQ13" s="488">
        <v>18.2</v>
      </c>
      <c r="BR13" s="488">
        <v>0.75</v>
      </c>
      <c r="BS13" s="739"/>
      <c r="BT13" s="740"/>
      <c r="BU13" s="742"/>
      <c r="BV13" s="739"/>
      <c r="BW13" s="739"/>
      <c r="BX13" s="739"/>
    </row>
    <row r="14" spans="1:76" ht="23.25" customHeight="1" x14ac:dyDescent="0.25">
      <c r="A14" s="342">
        <v>7</v>
      </c>
      <c r="B14" s="1222">
        <v>0</v>
      </c>
      <c r="C14" s="632" t="s">
        <v>31</v>
      </c>
      <c r="D14" s="408">
        <f t="shared" si="0"/>
        <v>0</v>
      </c>
      <c r="E14" s="285">
        <f t="shared" si="1"/>
        <v>0</v>
      </c>
      <c r="F14" s="409">
        <f t="shared" si="21"/>
        <v>0</v>
      </c>
      <c r="G14" s="1238">
        <v>0</v>
      </c>
      <c r="H14" s="918">
        <v>0</v>
      </c>
      <c r="I14" s="413">
        <f t="shared" si="22"/>
        <v>0</v>
      </c>
      <c r="J14" s="433">
        <v>0</v>
      </c>
      <c r="K14" s="427">
        <f t="shared" si="23"/>
        <v>0</v>
      </c>
      <c r="L14" s="1220"/>
      <c r="M14" s="587">
        <f t="shared" si="2"/>
        <v>0</v>
      </c>
      <c r="N14" s="435">
        <f t="shared" si="3"/>
        <v>0</v>
      </c>
      <c r="O14" s="499">
        <f t="shared" si="4"/>
        <v>0</v>
      </c>
      <c r="P14" s="435">
        <f t="shared" si="5"/>
        <v>0</v>
      </c>
      <c r="Q14" s="474"/>
      <c r="R14" s="775">
        <f t="shared" si="10"/>
        <v>7</v>
      </c>
      <c r="S14" s="775" t="str">
        <f t="shared" si="11"/>
        <v>keine</v>
      </c>
      <c r="T14" s="901"/>
      <c r="U14" s="900" t="s">
        <v>805</v>
      </c>
      <c r="V14" s="324">
        <v>0</v>
      </c>
      <c r="W14" s="751">
        <f>VLOOKUP(U14,Düngemittel!$B$6:$E$64,2,FALSE)*(VLOOKUP(U14,Düngemittel!$B$6:$E$64,3,FALSE))/100*V14</f>
        <v>0</v>
      </c>
      <c r="X14" s="687">
        <f>VLOOKUP(U14,Düngemittel!$B$6:$E$64,2,FALSE)*V14</f>
        <v>0</v>
      </c>
      <c r="Y14" s="687">
        <f>VLOOKUP(U14,Düngemittel!$B$6:$E$64,4,FALSE)*V14</f>
        <v>0</v>
      </c>
      <c r="Z14" s="666"/>
      <c r="AA14" s="899"/>
      <c r="AB14" s="900" t="s">
        <v>805</v>
      </c>
      <c r="AC14" s="978">
        <v>0</v>
      </c>
      <c r="AD14" s="751">
        <f>VLOOKUP(AB14,Düngemittel!$B$6:$E$64,2,FALSE)*(VLOOKUP(AB14,Düngemittel!$B$6:$E$64,3,FALSE))/100*AC14</f>
        <v>0</v>
      </c>
      <c r="AE14" s="687">
        <f>VLOOKUP(AB14,Düngemittel!$B$6:$E$64,2,FALSE)*AC14</f>
        <v>0</v>
      </c>
      <c r="AF14" s="687">
        <f>VLOOKUP(AB14,Düngemittel!$B$6:$E$64,4,FALSE)*AC14</f>
        <v>0</v>
      </c>
      <c r="AG14" s="666"/>
      <c r="AH14" s="899"/>
      <c r="AI14" s="900" t="s">
        <v>805</v>
      </c>
      <c r="AJ14" s="978">
        <v>0</v>
      </c>
      <c r="AK14" s="751">
        <f>VLOOKUP(AI14,Düngemittel!$B$6:$E$64,2,FALSE)*(VLOOKUP(AI14,Düngemittel!$B$6:$E$64,3,FALSE))/100*AJ14</f>
        <v>0</v>
      </c>
      <c r="AL14" s="687">
        <f>VLOOKUP(AI14,Düngemittel!$B$6:$E$64,2,FALSE)*AJ14</f>
        <v>0</v>
      </c>
      <c r="AM14" s="687">
        <f>VLOOKUP(AI14,Düngemittel!$B$6:$E$64,4,FALSE)*AJ14</f>
        <v>0</v>
      </c>
      <c r="AN14" s="666"/>
      <c r="AO14" s="899"/>
      <c r="AP14" s="900" t="s">
        <v>805</v>
      </c>
      <c r="AQ14" s="978">
        <v>0</v>
      </c>
      <c r="AR14" s="751">
        <f>VLOOKUP(AP14,Düngemittel!$B$6:$E$64,2,FALSE)*(VLOOKUP(AP14,Düngemittel!$B$6:$E$64,3,FALSE))/100*AQ14</f>
        <v>0</v>
      </c>
      <c r="AS14" s="687">
        <f>VLOOKUP(AP14,Düngemittel!$B$6:$E$64,2,FALSE)*AQ14</f>
        <v>0</v>
      </c>
      <c r="AT14" s="687">
        <f>VLOOKUP(AP14,Düngemittel!$B$6:$E$64,4,FALSE)*AQ14</f>
        <v>0</v>
      </c>
      <c r="AU14" s="666"/>
      <c r="AV14" s="899"/>
      <c r="AW14" s="900" t="s">
        <v>805</v>
      </c>
      <c r="AX14" s="978">
        <v>0</v>
      </c>
      <c r="AY14" s="751">
        <f>VLOOKUP(AW14,Düngemittel!$B$6:$E$64,2,FALSE)*(VLOOKUP(AW14,Düngemittel!$B$6:$E$64,3,FALSE))/100*AX14</f>
        <v>0</v>
      </c>
      <c r="AZ14" s="687">
        <f>VLOOKUP(AW14,Düngemittel!$B$6:$E$64,2,FALSE)*AX14</f>
        <v>0</v>
      </c>
      <c r="BA14" s="687">
        <f>VLOOKUP(AW14,Düngemittel!$B$6:$E$64,4,FALSE)*AX14</f>
        <v>0</v>
      </c>
      <c r="BB14" s="666"/>
      <c r="BC14" s="853">
        <f t="shared" si="12"/>
        <v>0</v>
      </c>
      <c r="BD14" s="308">
        <f t="shared" si="13"/>
        <v>0</v>
      </c>
      <c r="BE14" s="853">
        <f t="shared" si="13"/>
        <v>0</v>
      </c>
      <c r="BF14" s="777">
        <f t="shared" si="14"/>
        <v>0</v>
      </c>
      <c r="BG14" s="308">
        <f t="shared" si="15"/>
        <v>0</v>
      </c>
      <c r="BH14" s="785"/>
      <c r="BI14" s="853">
        <f t="shared" si="16"/>
        <v>0</v>
      </c>
      <c r="BJ14" s="853">
        <f t="shared" si="17"/>
        <v>0</v>
      </c>
      <c r="BK14" s="853">
        <f t="shared" si="18"/>
        <v>0</v>
      </c>
      <c r="BL14" s="853">
        <f t="shared" si="19"/>
        <v>0</v>
      </c>
      <c r="BM14" s="853">
        <f t="shared" si="20"/>
        <v>0</v>
      </c>
      <c r="BN14" s="16"/>
      <c r="BO14" s="733" t="s">
        <v>247</v>
      </c>
      <c r="BP14" s="488">
        <v>110</v>
      </c>
      <c r="BQ14" s="488">
        <v>20.5</v>
      </c>
      <c r="BR14" s="488">
        <v>0.7</v>
      </c>
      <c r="BS14" s="739"/>
      <c r="BT14" s="739"/>
      <c r="BU14" s="739"/>
      <c r="BV14" s="739"/>
      <c r="BW14" s="739"/>
      <c r="BX14" s="739"/>
    </row>
    <row r="15" spans="1:76" ht="23.25" customHeight="1" x14ac:dyDescent="0.25">
      <c r="A15" s="342">
        <v>8</v>
      </c>
      <c r="B15" s="1222">
        <v>0</v>
      </c>
      <c r="C15" s="632" t="s">
        <v>31</v>
      </c>
      <c r="D15" s="408">
        <f t="shared" si="0"/>
        <v>0</v>
      </c>
      <c r="E15" s="285">
        <f t="shared" si="1"/>
        <v>0</v>
      </c>
      <c r="F15" s="409">
        <f t="shared" si="21"/>
        <v>0</v>
      </c>
      <c r="G15" s="1238">
        <v>0</v>
      </c>
      <c r="H15" s="918">
        <v>0</v>
      </c>
      <c r="I15" s="413">
        <f t="shared" si="22"/>
        <v>0</v>
      </c>
      <c r="J15" s="433">
        <v>0</v>
      </c>
      <c r="K15" s="427">
        <f t="shared" si="23"/>
        <v>0</v>
      </c>
      <c r="L15" s="1220"/>
      <c r="M15" s="587">
        <f t="shared" si="2"/>
        <v>0</v>
      </c>
      <c r="N15" s="435">
        <f t="shared" si="3"/>
        <v>0</v>
      </c>
      <c r="O15" s="499">
        <f t="shared" si="4"/>
        <v>0</v>
      </c>
      <c r="P15" s="435">
        <f t="shared" si="5"/>
        <v>0</v>
      </c>
      <c r="Q15" s="474"/>
      <c r="R15" s="775">
        <f t="shared" si="10"/>
        <v>8</v>
      </c>
      <c r="S15" s="775" t="str">
        <f t="shared" si="11"/>
        <v>keine</v>
      </c>
      <c r="T15" s="901"/>
      <c r="U15" s="900" t="s">
        <v>805</v>
      </c>
      <c r="V15" s="324">
        <v>0</v>
      </c>
      <c r="W15" s="751">
        <f>VLOOKUP(U15,Düngemittel!$B$6:$E$64,2,FALSE)*(VLOOKUP(U15,Düngemittel!$B$6:$E$64,3,FALSE))/100*V15</f>
        <v>0</v>
      </c>
      <c r="X15" s="687">
        <f>VLOOKUP(U15,Düngemittel!$B$6:$E$64,2,FALSE)*V15</f>
        <v>0</v>
      </c>
      <c r="Y15" s="687">
        <f>VLOOKUP(U15,Düngemittel!$B$6:$E$64,4,FALSE)*V15</f>
        <v>0</v>
      </c>
      <c r="Z15" s="666"/>
      <c r="AA15" s="899"/>
      <c r="AB15" s="900" t="s">
        <v>805</v>
      </c>
      <c r="AC15" s="978">
        <v>0</v>
      </c>
      <c r="AD15" s="751">
        <f>VLOOKUP(AB15,Düngemittel!$B$6:$E$64,2,FALSE)*(VLOOKUP(AB15,Düngemittel!$B$6:$E$64,3,FALSE))/100*AC15</f>
        <v>0</v>
      </c>
      <c r="AE15" s="687">
        <f>VLOOKUP(AB15,Düngemittel!$B$6:$E$64,2,FALSE)*AC15</f>
        <v>0</v>
      </c>
      <c r="AF15" s="687">
        <f>VLOOKUP(AB15,Düngemittel!$B$6:$E$64,4,FALSE)*AC15</f>
        <v>0</v>
      </c>
      <c r="AG15" s="666"/>
      <c r="AH15" s="899"/>
      <c r="AI15" s="900" t="s">
        <v>805</v>
      </c>
      <c r="AJ15" s="978">
        <v>0</v>
      </c>
      <c r="AK15" s="751">
        <f>VLOOKUP(AI15,Düngemittel!$B$6:$E$64,2,FALSE)*(VLOOKUP(AI15,Düngemittel!$B$6:$E$64,3,FALSE))/100*AJ15</f>
        <v>0</v>
      </c>
      <c r="AL15" s="687">
        <f>VLOOKUP(AI15,Düngemittel!$B$6:$E$64,2,FALSE)*AJ15</f>
        <v>0</v>
      </c>
      <c r="AM15" s="687">
        <f>VLOOKUP(AI15,Düngemittel!$B$6:$E$64,4,FALSE)*AJ15</f>
        <v>0</v>
      </c>
      <c r="AN15" s="666"/>
      <c r="AO15" s="899"/>
      <c r="AP15" s="900" t="s">
        <v>805</v>
      </c>
      <c r="AQ15" s="978">
        <v>0</v>
      </c>
      <c r="AR15" s="751">
        <f>VLOOKUP(AP15,Düngemittel!$B$6:$E$64,2,FALSE)*(VLOOKUP(AP15,Düngemittel!$B$6:$E$64,3,FALSE))/100*AQ15</f>
        <v>0</v>
      </c>
      <c r="AS15" s="687">
        <f>VLOOKUP(AP15,Düngemittel!$B$6:$E$64,2,FALSE)*AQ15</f>
        <v>0</v>
      </c>
      <c r="AT15" s="687">
        <f>VLOOKUP(AP15,Düngemittel!$B$6:$E$64,4,FALSE)*AQ15</f>
        <v>0</v>
      </c>
      <c r="AU15" s="666"/>
      <c r="AV15" s="899"/>
      <c r="AW15" s="900" t="s">
        <v>805</v>
      </c>
      <c r="AX15" s="978">
        <v>0</v>
      </c>
      <c r="AY15" s="751">
        <f>VLOOKUP(AW15,Düngemittel!$B$6:$E$64,2,FALSE)*(VLOOKUP(AW15,Düngemittel!$B$6:$E$64,3,FALSE))/100*AX15</f>
        <v>0</v>
      </c>
      <c r="AZ15" s="687">
        <f>VLOOKUP(AW15,Düngemittel!$B$6:$E$64,2,FALSE)*AX15</f>
        <v>0</v>
      </c>
      <c r="BA15" s="687">
        <f>VLOOKUP(AW15,Düngemittel!$B$6:$E$64,4,FALSE)*AX15</f>
        <v>0</v>
      </c>
      <c r="BB15" s="666"/>
      <c r="BC15" s="853">
        <f t="shared" si="12"/>
        <v>0</v>
      </c>
      <c r="BD15" s="308">
        <f t="shared" si="13"/>
        <v>0</v>
      </c>
      <c r="BE15" s="853">
        <f t="shared" si="13"/>
        <v>0</v>
      </c>
      <c r="BF15" s="777">
        <f t="shared" si="14"/>
        <v>0</v>
      </c>
      <c r="BG15" s="308">
        <f t="shared" si="15"/>
        <v>0</v>
      </c>
      <c r="BH15" s="785"/>
      <c r="BI15" s="853">
        <f t="shared" si="16"/>
        <v>0</v>
      </c>
      <c r="BJ15" s="853">
        <f t="shared" si="17"/>
        <v>0</v>
      </c>
      <c r="BK15" s="853">
        <f t="shared" si="18"/>
        <v>0</v>
      </c>
      <c r="BL15" s="853">
        <f t="shared" si="19"/>
        <v>0</v>
      </c>
      <c r="BM15" s="853">
        <f t="shared" si="20"/>
        <v>0</v>
      </c>
      <c r="BN15" s="16"/>
      <c r="BO15" s="733" t="s">
        <v>249</v>
      </c>
      <c r="BP15" s="488">
        <v>120</v>
      </c>
      <c r="BQ15" s="488">
        <v>18.2</v>
      </c>
      <c r="BR15" s="488">
        <v>0.75</v>
      </c>
      <c r="BS15" s="739"/>
      <c r="BT15" s="739"/>
      <c r="BU15" s="739"/>
      <c r="BV15" s="739"/>
      <c r="BW15" s="739"/>
      <c r="BX15" s="739"/>
    </row>
    <row r="16" spans="1:76" ht="23.25" customHeight="1" x14ac:dyDescent="0.25">
      <c r="A16" s="342">
        <v>9</v>
      </c>
      <c r="B16" s="1222">
        <v>0</v>
      </c>
      <c r="C16" s="632" t="s">
        <v>31</v>
      </c>
      <c r="D16" s="408">
        <f t="shared" si="0"/>
        <v>0</v>
      </c>
      <c r="E16" s="285">
        <f t="shared" si="1"/>
        <v>0</v>
      </c>
      <c r="F16" s="409">
        <f t="shared" si="21"/>
        <v>0</v>
      </c>
      <c r="G16" s="1238">
        <v>0</v>
      </c>
      <c r="H16" s="918">
        <v>0</v>
      </c>
      <c r="I16" s="413">
        <f t="shared" si="22"/>
        <v>0</v>
      </c>
      <c r="J16" s="433">
        <v>0</v>
      </c>
      <c r="K16" s="427">
        <f t="shared" si="23"/>
        <v>0</v>
      </c>
      <c r="L16" s="1220"/>
      <c r="M16" s="587">
        <f t="shared" si="2"/>
        <v>0</v>
      </c>
      <c r="N16" s="435">
        <f t="shared" si="3"/>
        <v>0</v>
      </c>
      <c r="O16" s="499">
        <f t="shared" si="4"/>
        <v>0</v>
      </c>
      <c r="P16" s="435">
        <f t="shared" si="5"/>
        <v>0</v>
      </c>
      <c r="Q16" s="474"/>
      <c r="R16" s="775">
        <f t="shared" si="10"/>
        <v>9</v>
      </c>
      <c r="S16" s="775" t="str">
        <f t="shared" si="11"/>
        <v>keine</v>
      </c>
      <c r="T16" s="901"/>
      <c r="U16" s="900" t="s">
        <v>805</v>
      </c>
      <c r="V16" s="324">
        <v>0</v>
      </c>
      <c r="W16" s="751">
        <f>VLOOKUP(U16,Düngemittel!$B$6:$E$64,2,FALSE)*(VLOOKUP(U16,Düngemittel!$B$6:$E$64,3,FALSE))/100*V16</f>
        <v>0</v>
      </c>
      <c r="X16" s="687">
        <f>VLOOKUP(U16,Düngemittel!$B$6:$E$64,2,FALSE)*V16</f>
        <v>0</v>
      </c>
      <c r="Y16" s="687">
        <f>VLOOKUP(U16,Düngemittel!$B$6:$E$64,4,FALSE)*V16</f>
        <v>0</v>
      </c>
      <c r="Z16" s="666"/>
      <c r="AA16" s="899"/>
      <c r="AB16" s="900" t="s">
        <v>805</v>
      </c>
      <c r="AC16" s="978">
        <v>0</v>
      </c>
      <c r="AD16" s="751">
        <f>VLOOKUP(AB16,Düngemittel!$B$6:$E$64,2,FALSE)*(VLOOKUP(AB16,Düngemittel!$B$6:$E$64,3,FALSE))/100*AC16</f>
        <v>0</v>
      </c>
      <c r="AE16" s="687">
        <f>VLOOKUP(AB16,Düngemittel!$B$6:$E$64,2,FALSE)*AC16</f>
        <v>0</v>
      </c>
      <c r="AF16" s="687">
        <f>VLOOKUP(AB16,Düngemittel!$B$6:$E$64,4,FALSE)*AC16</f>
        <v>0</v>
      </c>
      <c r="AG16" s="666"/>
      <c r="AH16" s="899"/>
      <c r="AI16" s="900" t="s">
        <v>805</v>
      </c>
      <c r="AJ16" s="978">
        <v>0</v>
      </c>
      <c r="AK16" s="751">
        <f>VLOOKUP(AI16,Düngemittel!$B$6:$E$64,2,FALSE)*(VLOOKUP(AI16,Düngemittel!$B$6:$E$64,3,FALSE))/100*AJ16</f>
        <v>0</v>
      </c>
      <c r="AL16" s="687">
        <f>VLOOKUP(AI16,Düngemittel!$B$6:$E$64,2,FALSE)*AJ16</f>
        <v>0</v>
      </c>
      <c r="AM16" s="687">
        <f>VLOOKUP(AI16,Düngemittel!$B$6:$E$64,4,FALSE)*AJ16</f>
        <v>0</v>
      </c>
      <c r="AN16" s="666"/>
      <c r="AO16" s="899"/>
      <c r="AP16" s="900" t="s">
        <v>805</v>
      </c>
      <c r="AQ16" s="978">
        <v>0</v>
      </c>
      <c r="AR16" s="751">
        <f>VLOOKUP(AP16,Düngemittel!$B$6:$E$64,2,FALSE)*(VLOOKUP(AP16,Düngemittel!$B$6:$E$64,3,FALSE))/100*AQ16</f>
        <v>0</v>
      </c>
      <c r="AS16" s="687">
        <f>VLOOKUP(AP16,Düngemittel!$B$6:$E$64,2,FALSE)*AQ16</f>
        <v>0</v>
      </c>
      <c r="AT16" s="687">
        <f>VLOOKUP(AP16,Düngemittel!$B$6:$E$64,4,FALSE)*AQ16</f>
        <v>0</v>
      </c>
      <c r="AU16" s="666"/>
      <c r="AV16" s="899"/>
      <c r="AW16" s="900" t="s">
        <v>805</v>
      </c>
      <c r="AX16" s="978">
        <v>0</v>
      </c>
      <c r="AY16" s="751">
        <f>VLOOKUP(AW16,Düngemittel!$B$6:$E$64,2,FALSE)*(VLOOKUP(AW16,Düngemittel!$B$6:$E$64,3,FALSE))/100*AX16</f>
        <v>0</v>
      </c>
      <c r="AZ16" s="687">
        <f>VLOOKUP(AW16,Düngemittel!$B$6:$E$64,2,FALSE)*AX16</f>
        <v>0</v>
      </c>
      <c r="BA16" s="687">
        <f>VLOOKUP(AW16,Düngemittel!$B$6:$E$64,4,FALSE)*AX16</f>
        <v>0</v>
      </c>
      <c r="BB16" s="666"/>
      <c r="BC16" s="853">
        <f t="shared" si="12"/>
        <v>0</v>
      </c>
      <c r="BD16" s="308">
        <f t="shared" si="13"/>
        <v>0</v>
      </c>
      <c r="BE16" s="853">
        <f t="shared" si="13"/>
        <v>0</v>
      </c>
      <c r="BF16" s="777">
        <f t="shared" si="14"/>
        <v>0</v>
      </c>
      <c r="BG16" s="308">
        <f t="shared" si="15"/>
        <v>0</v>
      </c>
      <c r="BH16" s="785"/>
      <c r="BI16" s="853">
        <f t="shared" si="16"/>
        <v>0</v>
      </c>
      <c r="BJ16" s="853">
        <f t="shared" si="17"/>
        <v>0</v>
      </c>
      <c r="BK16" s="853">
        <f t="shared" si="18"/>
        <v>0</v>
      </c>
      <c r="BL16" s="853">
        <f t="shared" si="19"/>
        <v>0</v>
      </c>
      <c r="BM16" s="853">
        <f t="shared" si="20"/>
        <v>0</v>
      </c>
      <c r="BN16" s="16"/>
      <c r="BO16" s="733" t="s">
        <v>247</v>
      </c>
      <c r="BP16" s="488">
        <v>110</v>
      </c>
      <c r="BQ16" s="488">
        <v>20.5</v>
      </c>
      <c r="BR16" s="488">
        <v>0.7</v>
      </c>
      <c r="BS16" s="739"/>
      <c r="BT16" s="739"/>
      <c r="BU16" s="739"/>
      <c r="BV16" s="739"/>
      <c r="BW16" s="739"/>
      <c r="BX16" s="739"/>
    </row>
    <row r="17" spans="1:76" ht="23.25" customHeight="1" x14ac:dyDescent="0.25">
      <c r="A17" s="342">
        <v>10</v>
      </c>
      <c r="B17" s="1222">
        <v>0</v>
      </c>
      <c r="C17" s="632" t="s">
        <v>31</v>
      </c>
      <c r="D17" s="408">
        <f t="shared" si="0"/>
        <v>0</v>
      </c>
      <c r="E17" s="285">
        <f t="shared" si="1"/>
        <v>0</v>
      </c>
      <c r="F17" s="409">
        <f t="shared" si="21"/>
        <v>0</v>
      </c>
      <c r="G17" s="1238">
        <v>0</v>
      </c>
      <c r="H17" s="918">
        <v>0</v>
      </c>
      <c r="I17" s="413">
        <f t="shared" si="22"/>
        <v>0</v>
      </c>
      <c r="J17" s="433">
        <v>0</v>
      </c>
      <c r="K17" s="427">
        <f t="shared" si="23"/>
        <v>0</v>
      </c>
      <c r="L17" s="1220"/>
      <c r="M17" s="587">
        <f t="shared" si="2"/>
        <v>0</v>
      </c>
      <c r="N17" s="435">
        <f t="shared" si="3"/>
        <v>0</v>
      </c>
      <c r="O17" s="499">
        <f t="shared" si="4"/>
        <v>0</v>
      </c>
      <c r="P17" s="435">
        <f t="shared" si="5"/>
        <v>0</v>
      </c>
      <c r="Q17" s="474"/>
      <c r="R17" s="775">
        <f t="shared" si="10"/>
        <v>10</v>
      </c>
      <c r="S17" s="775" t="str">
        <f t="shared" si="11"/>
        <v>keine</v>
      </c>
      <c r="T17" s="901"/>
      <c r="U17" s="900" t="s">
        <v>805</v>
      </c>
      <c r="V17" s="324">
        <v>0</v>
      </c>
      <c r="W17" s="751">
        <f>VLOOKUP(U17,Düngemittel!$B$6:$E$64,2,FALSE)*(VLOOKUP(U17,Düngemittel!$B$6:$E$64,3,FALSE))/100*V17</f>
        <v>0</v>
      </c>
      <c r="X17" s="687">
        <f>VLOOKUP(U17,Düngemittel!$B$6:$E$64,2,FALSE)*V17</f>
        <v>0</v>
      </c>
      <c r="Y17" s="687">
        <f>VLOOKUP(U17,Düngemittel!$B$6:$E$64,4,FALSE)*V17</f>
        <v>0</v>
      </c>
      <c r="Z17" s="666"/>
      <c r="AA17" s="899"/>
      <c r="AB17" s="900" t="s">
        <v>805</v>
      </c>
      <c r="AC17" s="978">
        <v>0</v>
      </c>
      <c r="AD17" s="751">
        <f>VLOOKUP(AB17,Düngemittel!$B$6:$E$64,2,FALSE)*(VLOOKUP(AB17,Düngemittel!$B$6:$E$64,3,FALSE))/100*AC17</f>
        <v>0</v>
      </c>
      <c r="AE17" s="687">
        <f>VLOOKUP(AB17,Düngemittel!$B$6:$E$64,2,FALSE)*AC17</f>
        <v>0</v>
      </c>
      <c r="AF17" s="687">
        <f>VLOOKUP(AB17,Düngemittel!$B$6:$E$64,4,FALSE)*AC17</f>
        <v>0</v>
      </c>
      <c r="AG17" s="666"/>
      <c r="AH17" s="899"/>
      <c r="AI17" s="900" t="s">
        <v>805</v>
      </c>
      <c r="AJ17" s="978">
        <v>0</v>
      </c>
      <c r="AK17" s="751">
        <f>VLOOKUP(AI17,Düngemittel!$B$6:$E$64,2,FALSE)*(VLOOKUP(AI17,Düngemittel!$B$6:$E$64,3,FALSE))/100*AJ17</f>
        <v>0</v>
      </c>
      <c r="AL17" s="687">
        <f>VLOOKUP(AI17,Düngemittel!$B$6:$E$64,2,FALSE)*AJ17</f>
        <v>0</v>
      </c>
      <c r="AM17" s="687">
        <f>VLOOKUP(AI17,Düngemittel!$B$6:$E$64,4,FALSE)*AJ17</f>
        <v>0</v>
      </c>
      <c r="AN17" s="666"/>
      <c r="AO17" s="899"/>
      <c r="AP17" s="900" t="s">
        <v>805</v>
      </c>
      <c r="AQ17" s="978">
        <v>0</v>
      </c>
      <c r="AR17" s="751">
        <f>VLOOKUP(AP17,Düngemittel!$B$6:$E$64,2,FALSE)*(VLOOKUP(AP17,Düngemittel!$B$6:$E$64,3,FALSE))/100*AQ17</f>
        <v>0</v>
      </c>
      <c r="AS17" s="687">
        <f>VLOOKUP(AP17,Düngemittel!$B$6:$E$64,2,FALSE)*AQ17</f>
        <v>0</v>
      </c>
      <c r="AT17" s="687">
        <f>VLOOKUP(AP17,Düngemittel!$B$6:$E$64,4,FALSE)*AQ17</f>
        <v>0</v>
      </c>
      <c r="AU17" s="666"/>
      <c r="AV17" s="899"/>
      <c r="AW17" s="900" t="s">
        <v>805</v>
      </c>
      <c r="AX17" s="978">
        <v>0</v>
      </c>
      <c r="AY17" s="751">
        <f>VLOOKUP(AW17,Düngemittel!$B$6:$E$64,2,FALSE)*(VLOOKUP(AW17,Düngemittel!$B$6:$E$64,3,FALSE))/100*AX17</f>
        <v>0</v>
      </c>
      <c r="AZ17" s="687">
        <f>VLOOKUP(AW17,Düngemittel!$B$6:$E$64,2,FALSE)*AX17</f>
        <v>0</v>
      </c>
      <c r="BA17" s="687">
        <f>VLOOKUP(AW17,Düngemittel!$B$6:$E$64,4,FALSE)*AX17</f>
        <v>0</v>
      </c>
      <c r="BB17" s="666"/>
      <c r="BC17" s="853">
        <f t="shared" si="12"/>
        <v>0</v>
      </c>
      <c r="BD17" s="308">
        <f t="shared" si="13"/>
        <v>0</v>
      </c>
      <c r="BE17" s="853">
        <f t="shared" si="13"/>
        <v>0</v>
      </c>
      <c r="BF17" s="777">
        <f t="shared" si="14"/>
        <v>0</v>
      </c>
      <c r="BG17" s="308">
        <f t="shared" si="15"/>
        <v>0</v>
      </c>
      <c r="BH17" s="785"/>
      <c r="BI17" s="853">
        <f t="shared" si="16"/>
        <v>0</v>
      </c>
      <c r="BJ17" s="853">
        <f t="shared" si="17"/>
        <v>0</v>
      </c>
      <c r="BK17" s="853">
        <f t="shared" si="18"/>
        <v>0</v>
      </c>
      <c r="BL17" s="853">
        <f t="shared" si="19"/>
        <v>0</v>
      </c>
      <c r="BM17" s="853">
        <f t="shared" si="20"/>
        <v>0</v>
      </c>
      <c r="BN17" s="16"/>
      <c r="BO17" s="743"/>
      <c r="BP17" s="99"/>
      <c r="BQ17" s="99"/>
      <c r="BS17" s="739"/>
      <c r="BT17" s="739"/>
      <c r="BU17" s="739"/>
      <c r="BV17" s="739"/>
      <c r="BW17" s="739"/>
      <c r="BX17" s="739"/>
    </row>
    <row r="18" spans="1:76" ht="23.25" customHeight="1" x14ac:dyDescent="0.25">
      <c r="A18" s="342">
        <v>11</v>
      </c>
      <c r="B18" s="1222">
        <v>0</v>
      </c>
      <c r="C18" s="632" t="s">
        <v>31</v>
      </c>
      <c r="D18" s="408">
        <f t="shared" si="0"/>
        <v>0</v>
      </c>
      <c r="E18" s="285">
        <f t="shared" si="1"/>
        <v>0</v>
      </c>
      <c r="F18" s="409">
        <f t="shared" si="7"/>
        <v>0</v>
      </c>
      <c r="G18" s="1238">
        <v>0</v>
      </c>
      <c r="H18" s="918">
        <v>0</v>
      </c>
      <c r="I18" s="413">
        <f t="shared" si="8"/>
        <v>0</v>
      </c>
      <c r="J18" s="433">
        <v>0</v>
      </c>
      <c r="K18" s="427">
        <f t="shared" si="9"/>
        <v>0</v>
      </c>
      <c r="L18" s="1220"/>
      <c r="M18" s="587">
        <f t="shared" si="2"/>
        <v>0</v>
      </c>
      <c r="N18" s="435">
        <f t="shared" si="3"/>
        <v>0</v>
      </c>
      <c r="O18" s="499">
        <f t="shared" si="4"/>
        <v>0</v>
      </c>
      <c r="P18" s="435">
        <f t="shared" si="5"/>
        <v>0</v>
      </c>
      <c r="Q18" s="474"/>
      <c r="R18" s="775">
        <f t="shared" si="10"/>
        <v>11</v>
      </c>
      <c r="S18" s="775" t="str">
        <f t="shared" si="11"/>
        <v>keine</v>
      </c>
      <c r="T18" s="901"/>
      <c r="U18" s="900" t="s">
        <v>805</v>
      </c>
      <c r="V18" s="324">
        <v>0</v>
      </c>
      <c r="W18" s="751">
        <f>VLOOKUP(U18,Düngemittel!$B$6:$E$64,2,FALSE)*(VLOOKUP(U18,Düngemittel!$B$6:$E$64,3,FALSE))/100*V18</f>
        <v>0</v>
      </c>
      <c r="X18" s="687">
        <f>VLOOKUP(U18,Düngemittel!$B$6:$E$64,2,FALSE)*V18</f>
        <v>0</v>
      </c>
      <c r="Y18" s="687">
        <f>VLOOKUP(U18,Düngemittel!$B$6:$E$64,4,FALSE)*V18</f>
        <v>0</v>
      </c>
      <c r="Z18" s="666"/>
      <c r="AA18" s="899"/>
      <c r="AB18" s="900" t="s">
        <v>805</v>
      </c>
      <c r="AC18" s="978">
        <v>0</v>
      </c>
      <c r="AD18" s="751">
        <f>VLOOKUP(AB18,Düngemittel!$B$6:$E$64,2,FALSE)*(VLOOKUP(AB18,Düngemittel!$B$6:$E$64,3,FALSE))/100*AC18</f>
        <v>0</v>
      </c>
      <c r="AE18" s="687">
        <f>VLOOKUP(AB18,Düngemittel!$B$6:$E$64,2,FALSE)*AC18</f>
        <v>0</v>
      </c>
      <c r="AF18" s="687">
        <f>VLOOKUP(AB18,Düngemittel!$B$6:$E$64,4,FALSE)*AC18</f>
        <v>0</v>
      </c>
      <c r="AG18" s="666"/>
      <c r="AH18" s="899"/>
      <c r="AI18" s="900" t="s">
        <v>805</v>
      </c>
      <c r="AJ18" s="978">
        <v>0</v>
      </c>
      <c r="AK18" s="751">
        <f>VLOOKUP(AI18,Düngemittel!$B$6:$E$64,2,FALSE)*(VLOOKUP(AI18,Düngemittel!$B$6:$E$64,3,FALSE))/100*AJ18</f>
        <v>0</v>
      </c>
      <c r="AL18" s="687">
        <f>VLOOKUP(AI18,Düngemittel!$B$6:$E$64,2,FALSE)*AJ18</f>
        <v>0</v>
      </c>
      <c r="AM18" s="687">
        <f>VLOOKUP(AI18,Düngemittel!$B$6:$E$64,4,FALSE)*AJ18</f>
        <v>0</v>
      </c>
      <c r="AN18" s="666"/>
      <c r="AO18" s="899"/>
      <c r="AP18" s="900" t="s">
        <v>805</v>
      </c>
      <c r="AQ18" s="978">
        <v>0</v>
      </c>
      <c r="AR18" s="751">
        <f>VLOOKUP(AP18,Düngemittel!$B$6:$E$64,2,FALSE)*(VLOOKUP(AP18,Düngemittel!$B$6:$E$64,3,FALSE))/100*AQ18</f>
        <v>0</v>
      </c>
      <c r="AS18" s="687">
        <f>VLOOKUP(AP18,Düngemittel!$B$6:$E$64,2,FALSE)*AQ18</f>
        <v>0</v>
      </c>
      <c r="AT18" s="687">
        <f>VLOOKUP(AP18,Düngemittel!$B$6:$E$64,4,FALSE)*AQ18</f>
        <v>0</v>
      </c>
      <c r="AU18" s="666"/>
      <c r="AV18" s="899"/>
      <c r="AW18" s="900" t="s">
        <v>805</v>
      </c>
      <c r="AX18" s="978">
        <v>0</v>
      </c>
      <c r="AY18" s="751">
        <f>VLOOKUP(AW18,Düngemittel!$B$6:$E$64,2,FALSE)*(VLOOKUP(AW18,Düngemittel!$B$6:$E$64,3,FALSE))/100*AX18</f>
        <v>0</v>
      </c>
      <c r="AZ18" s="687">
        <f>VLOOKUP(AW18,Düngemittel!$B$6:$E$64,2,FALSE)*AX18</f>
        <v>0</v>
      </c>
      <c r="BA18" s="687">
        <f>VLOOKUP(AW18,Düngemittel!$B$6:$E$64,4,FALSE)*AX18</f>
        <v>0</v>
      </c>
      <c r="BB18" s="666"/>
      <c r="BC18" s="853">
        <f t="shared" si="12"/>
        <v>0</v>
      </c>
      <c r="BD18" s="308">
        <f t="shared" si="13"/>
        <v>0</v>
      </c>
      <c r="BE18" s="853">
        <f t="shared" si="13"/>
        <v>0</v>
      </c>
      <c r="BF18" s="777">
        <f t="shared" si="14"/>
        <v>0</v>
      </c>
      <c r="BG18" s="308">
        <f t="shared" si="15"/>
        <v>0</v>
      </c>
      <c r="BH18" s="785"/>
      <c r="BI18" s="853">
        <f t="shared" si="16"/>
        <v>0</v>
      </c>
      <c r="BJ18" s="853">
        <f t="shared" si="17"/>
        <v>0</v>
      </c>
      <c r="BK18" s="853">
        <f t="shared" si="18"/>
        <v>0</v>
      </c>
      <c r="BL18" s="853">
        <f t="shared" si="19"/>
        <v>0</v>
      </c>
      <c r="BM18" s="853">
        <f t="shared" si="20"/>
        <v>0</v>
      </c>
      <c r="BN18" s="16"/>
      <c r="BO18" s="735"/>
      <c r="BP18" s="638"/>
      <c r="BQ18" s="638"/>
      <c r="BR18" s="638"/>
      <c r="BS18" s="739"/>
      <c r="BT18" s="740"/>
      <c r="BU18" s="742"/>
      <c r="BV18" s="739"/>
      <c r="BW18" s="739"/>
      <c r="BX18" s="739"/>
    </row>
    <row r="19" spans="1:76" ht="23.25" customHeight="1" x14ac:dyDescent="0.25">
      <c r="A19" s="342">
        <v>12</v>
      </c>
      <c r="B19" s="1222">
        <v>0</v>
      </c>
      <c r="C19" s="632" t="s">
        <v>31</v>
      </c>
      <c r="D19" s="408">
        <f t="shared" si="0"/>
        <v>0</v>
      </c>
      <c r="E19" s="285">
        <f t="shared" si="1"/>
        <v>0</v>
      </c>
      <c r="F19" s="409">
        <f t="shared" si="7"/>
        <v>0</v>
      </c>
      <c r="G19" s="1238">
        <v>0</v>
      </c>
      <c r="H19" s="918">
        <v>0</v>
      </c>
      <c r="I19" s="413">
        <f t="shared" si="8"/>
        <v>0</v>
      </c>
      <c r="J19" s="433">
        <v>0</v>
      </c>
      <c r="K19" s="427">
        <f t="shared" si="9"/>
        <v>0</v>
      </c>
      <c r="L19" s="1220"/>
      <c r="M19" s="587">
        <f t="shared" si="2"/>
        <v>0</v>
      </c>
      <c r="N19" s="435">
        <f t="shared" si="3"/>
        <v>0</v>
      </c>
      <c r="O19" s="499">
        <f t="shared" si="4"/>
        <v>0</v>
      </c>
      <c r="P19" s="435">
        <f t="shared" si="5"/>
        <v>0</v>
      </c>
      <c r="Q19" s="474"/>
      <c r="R19" s="775">
        <f t="shared" si="10"/>
        <v>12</v>
      </c>
      <c r="S19" s="775" t="str">
        <f t="shared" si="11"/>
        <v>keine</v>
      </c>
      <c r="T19" s="901"/>
      <c r="U19" s="900" t="s">
        <v>805</v>
      </c>
      <c r="V19" s="324">
        <v>0</v>
      </c>
      <c r="W19" s="751">
        <f>VLOOKUP(U19,Düngemittel!$B$6:$E$64,2,FALSE)*(VLOOKUP(U19,Düngemittel!$B$6:$E$64,3,FALSE))/100*V19</f>
        <v>0</v>
      </c>
      <c r="X19" s="687">
        <f>VLOOKUP(U19,Düngemittel!$B$6:$E$64,2,FALSE)*V19</f>
        <v>0</v>
      </c>
      <c r="Y19" s="687">
        <f>VLOOKUP(U19,Düngemittel!$B$6:$E$64,4,FALSE)*V19</f>
        <v>0</v>
      </c>
      <c r="Z19" s="666"/>
      <c r="AA19" s="899"/>
      <c r="AB19" s="900" t="s">
        <v>805</v>
      </c>
      <c r="AC19" s="978">
        <v>0</v>
      </c>
      <c r="AD19" s="751">
        <f>VLOOKUP(AB19,Düngemittel!$B$6:$E$64,2,FALSE)*(VLOOKUP(AB19,Düngemittel!$B$6:$E$64,3,FALSE))/100*AC19</f>
        <v>0</v>
      </c>
      <c r="AE19" s="687">
        <f>VLOOKUP(AB19,Düngemittel!$B$6:$E$64,2,FALSE)*AC19</f>
        <v>0</v>
      </c>
      <c r="AF19" s="687">
        <f>VLOOKUP(AB19,Düngemittel!$B$6:$E$64,4,FALSE)*AC19</f>
        <v>0</v>
      </c>
      <c r="AG19" s="666"/>
      <c r="AH19" s="899"/>
      <c r="AI19" s="900" t="s">
        <v>805</v>
      </c>
      <c r="AJ19" s="978">
        <v>0</v>
      </c>
      <c r="AK19" s="751">
        <f>VLOOKUP(AI19,Düngemittel!$B$6:$E$64,2,FALSE)*(VLOOKUP(AI19,Düngemittel!$B$6:$E$64,3,FALSE))/100*AJ19</f>
        <v>0</v>
      </c>
      <c r="AL19" s="687">
        <f>VLOOKUP(AI19,Düngemittel!$B$6:$E$64,2,FALSE)*AJ19</f>
        <v>0</v>
      </c>
      <c r="AM19" s="687">
        <f>VLOOKUP(AI19,Düngemittel!$B$6:$E$64,4,FALSE)*AJ19</f>
        <v>0</v>
      </c>
      <c r="AN19" s="666"/>
      <c r="AO19" s="899"/>
      <c r="AP19" s="900" t="s">
        <v>805</v>
      </c>
      <c r="AQ19" s="978">
        <v>0</v>
      </c>
      <c r="AR19" s="751">
        <f>VLOOKUP(AP19,Düngemittel!$B$6:$E$64,2,FALSE)*(VLOOKUP(AP19,Düngemittel!$B$6:$E$64,3,FALSE))/100*AQ19</f>
        <v>0</v>
      </c>
      <c r="AS19" s="687">
        <f>VLOOKUP(AP19,Düngemittel!$B$6:$E$64,2,FALSE)*AQ19</f>
        <v>0</v>
      </c>
      <c r="AT19" s="687">
        <f>VLOOKUP(AP19,Düngemittel!$B$6:$E$64,4,FALSE)*AQ19</f>
        <v>0</v>
      </c>
      <c r="AU19" s="666"/>
      <c r="AV19" s="899"/>
      <c r="AW19" s="900" t="s">
        <v>805</v>
      </c>
      <c r="AX19" s="978">
        <v>0</v>
      </c>
      <c r="AY19" s="751">
        <f>VLOOKUP(AW19,Düngemittel!$B$6:$E$64,2,FALSE)*(VLOOKUP(AW19,Düngemittel!$B$6:$E$64,3,FALSE))/100*AX19</f>
        <v>0</v>
      </c>
      <c r="AZ19" s="687">
        <f>VLOOKUP(AW19,Düngemittel!$B$6:$E$64,2,FALSE)*AX19</f>
        <v>0</v>
      </c>
      <c r="BA19" s="687">
        <f>VLOOKUP(AW19,Düngemittel!$B$6:$E$64,4,FALSE)*AX19</f>
        <v>0</v>
      </c>
      <c r="BB19" s="666"/>
      <c r="BC19" s="853">
        <f t="shared" si="12"/>
        <v>0</v>
      </c>
      <c r="BD19" s="308">
        <f t="shared" si="13"/>
        <v>0</v>
      </c>
      <c r="BE19" s="853">
        <f t="shared" si="13"/>
        <v>0</v>
      </c>
      <c r="BF19" s="777">
        <f t="shared" si="14"/>
        <v>0</v>
      </c>
      <c r="BG19" s="308">
        <f t="shared" si="15"/>
        <v>0</v>
      </c>
      <c r="BH19" s="785"/>
      <c r="BI19" s="853">
        <f t="shared" si="16"/>
        <v>0</v>
      </c>
      <c r="BJ19" s="853">
        <f t="shared" si="17"/>
        <v>0</v>
      </c>
      <c r="BK19" s="853">
        <f t="shared" si="18"/>
        <v>0</v>
      </c>
      <c r="BL19" s="853">
        <f t="shared" si="19"/>
        <v>0</v>
      </c>
      <c r="BM19" s="853">
        <f t="shared" si="20"/>
        <v>0</v>
      </c>
      <c r="BN19" s="16"/>
      <c r="BS19" s="739"/>
      <c r="BT19" s="739"/>
      <c r="BU19" s="739"/>
      <c r="BV19" s="739"/>
      <c r="BW19" s="739"/>
      <c r="BX19" s="739"/>
    </row>
    <row r="20" spans="1:76" ht="23.25" customHeight="1" x14ac:dyDescent="0.25">
      <c r="A20" s="342">
        <v>13</v>
      </c>
      <c r="B20" s="1222">
        <v>0</v>
      </c>
      <c r="C20" s="632" t="s">
        <v>31</v>
      </c>
      <c r="D20" s="408">
        <f t="shared" si="0"/>
        <v>0</v>
      </c>
      <c r="E20" s="285">
        <f t="shared" si="1"/>
        <v>0</v>
      </c>
      <c r="F20" s="409">
        <f t="shared" ref="F20:F25" si="24">D20*E20/6.25</f>
        <v>0</v>
      </c>
      <c r="G20" s="1238">
        <v>0</v>
      </c>
      <c r="H20" s="918">
        <v>0</v>
      </c>
      <c r="I20" s="413">
        <f t="shared" ref="I20:I25" si="25">G20*H20/6.25</f>
        <v>0</v>
      </c>
      <c r="J20" s="433">
        <v>0</v>
      </c>
      <c r="K20" s="427">
        <f t="shared" ref="K20:K25" si="26">IF(J20="Reinbestand",I20,J20*3)</f>
        <v>0</v>
      </c>
      <c r="L20" s="1220"/>
      <c r="M20" s="587">
        <f t="shared" si="2"/>
        <v>0</v>
      </c>
      <c r="N20" s="435">
        <f t="shared" si="3"/>
        <v>0</v>
      </c>
      <c r="O20" s="499">
        <f t="shared" si="4"/>
        <v>0</v>
      </c>
      <c r="P20" s="435">
        <f t="shared" si="5"/>
        <v>0</v>
      </c>
      <c r="Q20" s="474"/>
      <c r="R20" s="775">
        <f t="shared" si="10"/>
        <v>13</v>
      </c>
      <c r="S20" s="775" t="str">
        <f t="shared" si="11"/>
        <v>keine</v>
      </c>
      <c r="T20" s="901"/>
      <c r="U20" s="900" t="s">
        <v>805</v>
      </c>
      <c r="V20" s="324">
        <v>0</v>
      </c>
      <c r="W20" s="751">
        <f>VLOOKUP(U20,Düngemittel!$B$6:$E$64,2,FALSE)*(VLOOKUP(U20,Düngemittel!$B$6:$E$64,3,FALSE))/100*V20</f>
        <v>0</v>
      </c>
      <c r="X20" s="687">
        <f>VLOOKUP(U20,Düngemittel!$B$6:$E$64,2,FALSE)*V20</f>
        <v>0</v>
      </c>
      <c r="Y20" s="687">
        <f>VLOOKUP(U20,Düngemittel!$B$6:$E$64,4,FALSE)*V20</f>
        <v>0</v>
      </c>
      <c r="Z20" s="666"/>
      <c r="AA20" s="899"/>
      <c r="AB20" s="900" t="s">
        <v>805</v>
      </c>
      <c r="AC20" s="978">
        <v>0</v>
      </c>
      <c r="AD20" s="751">
        <f>VLOOKUP(AB20,Düngemittel!$B$6:$E$64,2,FALSE)*(VLOOKUP(AB20,Düngemittel!$B$6:$E$64,3,FALSE))/100*AC20</f>
        <v>0</v>
      </c>
      <c r="AE20" s="687">
        <f>VLOOKUP(AB20,Düngemittel!$B$6:$E$64,2,FALSE)*AC20</f>
        <v>0</v>
      </c>
      <c r="AF20" s="687">
        <f>VLOOKUP(AB20,Düngemittel!$B$6:$E$64,4,FALSE)*AC20</f>
        <v>0</v>
      </c>
      <c r="AG20" s="666"/>
      <c r="AH20" s="899"/>
      <c r="AI20" s="900" t="s">
        <v>805</v>
      </c>
      <c r="AJ20" s="978">
        <v>0</v>
      </c>
      <c r="AK20" s="751">
        <f>VLOOKUP(AI20,Düngemittel!$B$6:$E$64,2,FALSE)*(VLOOKUP(AI20,Düngemittel!$B$6:$E$64,3,FALSE))/100*AJ20</f>
        <v>0</v>
      </c>
      <c r="AL20" s="687">
        <f>VLOOKUP(AI20,Düngemittel!$B$6:$E$64,2,FALSE)*AJ20</f>
        <v>0</v>
      </c>
      <c r="AM20" s="687">
        <f>VLOOKUP(AI20,Düngemittel!$B$6:$E$64,4,FALSE)*AJ20</f>
        <v>0</v>
      </c>
      <c r="AN20" s="666"/>
      <c r="AO20" s="899"/>
      <c r="AP20" s="900" t="s">
        <v>805</v>
      </c>
      <c r="AQ20" s="978">
        <v>0</v>
      </c>
      <c r="AR20" s="751">
        <f>VLOOKUP(AP20,Düngemittel!$B$6:$E$64,2,FALSE)*(VLOOKUP(AP20,Düngemittel!$B$6:$E$64,3,FALSE))/100*AQ20</f>
        <v>0</v>
      </c>
      <c r="AS20" s="687">
        <f>VLOOKUP(AP20,Düngemittel!$B$6:$E$64,2,FALSE)*AQ20</f>
        <v>0</v>
      </c>
      <c r="AT20" s="687">
        <f>VLOOKUP(AP20,Düngemittel!$B$6:$E$64,4,FALSE)*AQ20</f>
        <v>0</v>
      </c>
      <c r="AU20" s="666"/>
      <c r="AV20" s="899"/>
      <c r="AW20" s="900" t="s">
        <v>805</v>
      </c>
      <c r="AX20" s="978">
        <v>0</v>
      </c>
      <c r="AY20" s="751">
        <f>VLOOKUP(AW20,Düngemittel!$B$6:$E$64,2,FALSE)*(VLOOKUP(AW20,Düngemittel!$B$6:$E$64,3,FALSE))/100*AX20</f>
        <v>0</v>
      </c>
      <c r="AZ20" s="687">
        <f>VLOOKUP(AW20,Düngemittel!$B$6:$E$64,2,FALSE)*AX20</f>
        <v>0</v>
      </c>
      <c r="BA20" s="687">
        <f>VLOOKUP(AW20,Düngemittel!$B$6:$E$64,4,FALSE)*AX20</f>
        <v>0</v>
      </c>
      <c r="BB20" s="666"/>
      <c r="BC20" s="853">
        <f t="shared" si="12"/>
        <v>0</v>
      </c>
      <c r="BD20" s="308">
        <f t="shared" si="13"/>
        <v>0</v>
      </c>
      <c r="BE20" s="853">
        <f t="shared" si="13"/>
        <v>0</v>
      </c>
      <c r="BF20" s="777">
        <f t="shared" si="14"/>
        <v>0</v>
      </c>
      <c r="BG20" s="308">
        <f t="shared" si="15"/>
        <v>0</v>
      </c>
      <c r="BH20" s="785"/>
      <c r="BI20" s="853">
        <f t="shared" si="16"/>
        <v>0</v>
      </c>
      <c r="BJ20" s="853">
        <f t="shared" si="17"/>
        <v>0</v>
      </c>
      <c r="BK20" s="853">
        <f t="shared" si="18"/>
        <v>0</v>
      </c>
      <c r="BL20" s="853">
        <f t="shared" si="19"/>
        <v>0</v>
      </c>
      <c r="BM20" s="853">
        <f t="shared" si="20"/>
        <v>0</v>
      </c>
      <c r="BN20" s="16"/>
      <c r="BS20" s="739"/>
      <c r="BT20" s="739"/>
      <c r="BU20" s="739"/>
      <c r="BV20" s="739"/>
      <c r="BW20" s="739"/>
      <c r="BX20" s="739"/>
    </row>
    <row r="21" spans="1:76" ht="23.25" customHeight="1" x14ac:dyDescent="0.25">
      <c r="A21" s="342">
        <v>14</v>
      </c>
      <c r="B21" s="1222">
        <v>0</v>
      </c>
      <c r="C21" s="632" t="s">
        <v>31</v>
      </c>
      <c r="D21" s="408">
        <f t="shared" si="0"/>
        <v>0</v>
      </c>
      <c r="E21" s="285">
        <f t="shared" si="1"/>
        <v>0</v>
      </c>
      <c r="F21" s="409">
        <f t="shared" si="24"/>
        <v>0</v>
      </c>
      <c r="G21" s="1238">
        <v>0</v>
      </c>
      <c r="H21" s="918">
        <v>0</v>
      </c>
      <c r="I21" s="413">
        <f t="shared" si="25"/>
        <v>0</v>
      </c>
      <c r="J21" s="433">
        <v>0</v>
      </c>
      <c r="K21" s="427">
        <f t="shared" si="26"/>
        <v>0</v>
      </c>
      <c r="L21" s="1220"/>
      <c r="M21" s="587">
        <f t="shared" si="2"/>
        <v>0</v>
      </c>
      <c r="N21" s="435">
        <f t="shared" si="3"/>
        <v>0</v>
      </c>
      <c r="O21" s="499">
        <f t="shared" si="4"/>
        <v>0</v>
      </c>
      <c r="P21" s="435">
        <f t="shared" si="5"/>
        <v>0</v>
      </c>
      <c r="Q21" s="474"/>
      <c r="R21" s="775">
        <f t="shared" si="10"/>
        <v>14</v>
      </c>
      <c r="S21" s="775" t="str">
        <f t="shared" si="11"/>
        <v>keine</v>
      </c>
      <c r="T21" s="901"/>
      <c r="U21" s="900" t="s">
        <v>805</v>
      </c>
      <c r="V21" s="324">
        <v>0</v>
      </c>
      <c r="W21" s="751">
        <f>VLOOKUP(U21,Düngemittel!$B$6:$E$64,2,FALSE)*(VLOOKUP(U21,Düngemittel!$B$6:$E$64,3,FALSE))/100*V21</f>
        <v>0</v>
      </c>
      <c r="X21" s="687">
        <f>VLOOKUP(U21,Düngemittel!$B$6:$E$64,2,FALSE)*V21</f>
        <v>0</v>
      </c>
      <c r="Y21" s="687">
        <f>VLOOKUP(U21,Düngemittel!$B$6:$E$64,4,FALSE)*V21</f>
        <v>0</v>
      </c>
      <c r="Z21" s="666"/>
      <c r="AA21" s="899"/>
      <c r="AB21" s="900" t="s">
        <v>805</v>
      </c>
      <c r="AC21" s="978">
        <v>0</v>
      </c>
      <c r="AD21" s="751">
        <f>VLOOKUP(AB21,Düngemittel!$B$6:$E$64,2,FALSE)*(VLOOKUP(AB21,Düngemittel!$B$6:$E$64,3,FALSE))/100*AC21</f>
        <v>0</v>
      </c>
      <c r="AE21" s="687">
        <f>VLOOKUP(AB21,Düngemittel!$B$6:$E$64,2,FALSE)*AC21</f>
        <v>0</v>
      </c>
      <c r="AF21" s="687">
        <f>VLOOKUP(AB21,Düngemittel!$B$6:$E$64,4,FALSE)*AC21</f>
        <v>0</v>
      </c>
      <c r="AG21" s="666"/>
      <c r="AH21" s="899"/>
      <c r="AI21" s="900" t="s">
        <v>805</v>
      </c>
      <c r="AJ21" s="978">
        <v>0</v>
      </c>
      <c r="AK21" s="751">
        <f>VLOOKUP(AI21,Düngemittel!$B$6:$E$64,2,FALSE)*(VLOOKUP(AI21,Düngemittel!$B$6:$E$64,3,FALSE))/100*AJ21</f>
        <v>0</v>
      </c>
      <c r="AL21" s="687">
        <f>VLOOKUP(AI21,Düngemittel!$B$6:$E$64,2,FALSE)*AJ21</f>
        <v>0</v>
      </c>
      <c r="AM21" s="687">
        <f>VLOOKUP(AI21,Düngemittel!$B$6:$E$64,4,FALSE)*AJ21</f>
        <v>0</v>
      </c>
      <c r="AN21" s="666"/>
      <c r="AO21" s="899"/>
      <c r="AP21" s="900" t="s">
        <v>805</v>
      </c>
      <c r="AQ21" s="978">
        <v>0</v>
      </c>
      <c r="AR21" s="751">
        <f>VLOOKUP(AP21,Düngemittel!$B$6:$E$64,2,FALSE)*(VLOOKUP(AP21,Düngemittel!$B$6:$E$64,3,FALSE))/100*AQ21</f>
        <v>0</v>
      </c>
      <c r="AS21" s="687">
        <f>VLOOKUP(AP21,Düngemittel!$B$6:$E$64,2,FALSE)*AQ21</f>
        <v>0</v>
      </c>
      <c r="AT21" s="687">
        <f>VLOOKUP(AP21,Düngemittel!$B$6:$E$64,4,FALSE)*AQ21</f>
        <v>0</v>
      </c>
      <c r="AU21" s="666"/>
      <c r="AV21" s="899"/>
      <c r="AW21" s="900" t="s">
        <v>805</v>
      </c>
      <c r="AX21" s="978">
        <v>0</v>
      </c>
      <c r="AY21" s="751">
        <f>VLOOKUP(AW21,Düngemittel!$B$6:$E$64,2,FALSE)*(VLOOKUP(AW21,Düngemittel!$B$6:$E$64,3,FALSE))/100*AX21</f>
        <v>0</v>
      </c>
      <c r="AZ21" s="687">
        <f>VLOOKUP(AW21,Düngemittel!$B$6:$E$64,2,FALSE)*AX21</f>
        <v>0</v>
      </c>
      <c r="BA21" s="687">
        <f>VLOOKUP(AW21,Düngemittel!$B$6:$E$64,4,FALSE)*AX21</f>
        <v>0</v>
      </c>
      <c r="BB21" s="666"/>
      <c r="BC21" s="853">
        <f t="shared" si="12"/>
        <v>0</v>
      </c>
      <c r="BD21" s="308">
        <f t="shared" si="13"/>
        <v>0</v>
      </c>
      <c r="BE21" s="853">
        <f t="shared" si="13"/>
        <v>0</v>
      </c>
      <c r="BF21" s="777">
        <f t="shared" si="14"/>
        <v>0</v>
      </c>
      <c r="BG21" s="308">
        <f t="shared" si="15"/>
        <v>0</v>
      </c>
      <c r="BH21" s="785"/>
      <c r="BI21" s="853">
        <f t="shared" si="16"/>
        <v>0</v>
      </c>
      <c r="BJ21" s="853">
        <f t="shared" si="17"/>
        <v>0</v>
      </c>
      <c r="BK21" s="853">
        <f t="shared" si="18"/>
        <v>0</v>
      </c>
      <c r="BL21" s="853">
        <f t="shared" si="19"/>
        <v>0</v>
      </c>
      <c r="BM21" s="853">
        <f t="shared" si="20"/>
        <v>0</v>
      </c>
      <c r="BN21" s="16"/>
      <c r="BO21" s="743"/>
      <c r="BP21" s="99"/>
      <c r="BQ21" s="99"/>
      <c r="BR21" s="488"/>
      <c r="BS21" s="739"/>
      <c r="BT21" s="739"/>
      <c r="BU21" s="739"/>
      <c r="BV21" s="739"/>
      <c r="BW21" s="739"/>
      <c r="BX21" s="739"/>
    </row>
    <row r="22" spans="1:76" ht="23.25" customHeight="1" x14ac:dyDescent="0.25">
      <c r="A22" s="342">
        <v>15</v>
      </c>
      <c r="B22" s="1222">
        <v>0</v>
      </c>
      <c r="C22" s="632" t="s">
        <v>31</v>
      </c>
      <c r="D22" s="408">
        <f t="shared" si="0"/>
        <v>0</v>
      </c>
      <c r="E22" s="285">
        <f t="shared" si="1"/>
        <v>0</v>
      </c>
      <c r="F22" s="409">
        <f t="shared" si="24"/>
        <v>0</v>
      </c>
      <c r="G22" s="1238">
        <v>0</v>
      </c>
      <c r="H22" s="918">
        <v>0</v>
      </c>
      <c r="I22" s="413">
        <f t="shared" si="25"/>
        <v>0</v>
      </c>
      <c r="J22" s="433">
        <v>0</v>
      </c>
      <c r="K22" s="427">
        <f t="shared" si="26"/>
        <v>0</v>
      </c>
      <c r="L22" s="1220"/>
      <c r="M22" s="587">
        <f t="shared" si="2"/>
        <v>0</v>
      </c>
      <c r="N22" s="435">
        <f t="shared" si="3"/>
        <v>0</v>
      </c>
      <c r="O22" s="499">
        <f t="shared" si="4"/>
        <v>0</v>
      </c>
      <c r="P22" s="435">
        <f t="shared" si="5"/>
        <v>0</v>
      </c>
      <c r="Q22" s="474"/>
      <c r="R22" s="775">
        <f t="shared" si="10"/>
        <v>15</v>
      </c>
      <c r="S22" s="775" t="str">
        <f t="shared" si="11"/>
        <v>keine</v>
      </c>
      <c r="T22" s="901"/>
      <c r="U22" s="900" t="s">
        <v>805</v>
      </c>
      <c r="V22" s="324">
        <v>0</v>
      </c>
      <c r="W22" s="751">
        <f>VLOOKUP(U22,Düngemittel!$B$6:$E$64,2,FALSE)*(VLOOKUP(U22,Düngemittel!$B$6:$E$64,3,FALSE))/100*V22</f>
        <v>0</v>
      </c>
      <c r="X22" s="687">
        <f>VLOOKUP(U22,Düngemittel!$B$6:$E$64,2,FALSE)*V22</f>
        <v>0</v>
      </c>
      <c r="Y22" s="687">
        <f>VLOOKUP(U22,Düngemittel!$B$6:$E$64,4,FALSE)*V22</f>
        <v>0</v>
      </c>
      <c r="Z22" s="666"/>
      <c r="AA22" s="899"/>
      <c r="AB22" s="900" t="s">
        <v>805</v>
      </c>
      <c r="AC22" s="978">
        <v>0</v>
      </c>
      <c r="AD22" s="751">
        <f>VLOOKUP(AB22,Düngemittel!$B$6:$E$64,2,FALSE)*(VLOOKUP(AB22,Düngemittel!$B$6:$E$64,3,FALSE))/100*AC22</f>
        <v>0</v>
      </c>
      <c r="AE22" s="687">
        <f>VLOOKUP(AB22,Düngemittel!$B$6:$E$64,2,FALSE)*AC22</f>
        <v>0</v>
      </c>
      <c r="AF22" s="687">
        <f>VLOOKUP(AB22,Düngemittel!$B$6:$E$64,4,FALSE)*AC22</f>
        <v>0</v>
      </c>
      <c r="AG22" s="666"/>
      <c r="AH22" s="899"/>
      <c r="AI22" s="900" t="s">
        <v>805</v>
      </c>
      <c r="AJ22" s="978">
        <v>0</v>
      </c>
      <c r="AK22" s="751">
        <f>VLOOKUP(AI22,Düngemittel!$B$6:$E$64,2,FALSE)*(VLOOKUP(AI22,Düngemittel!$B$6:$E$64,3,FALSE))/100*AJ22</f>
        <v>0</v>
      </c>
      <c r="AL22" s="687">
        <f>VLOOKUP(AI22,Düngemittel!$B$6:$E$64,2,FALSE)*AJ22</f>
        <v>0</v>
      </c>
      <c r="AM22" s="687">
        <f>VLOOKUP(AI22,Düngemittel!$B$6:$E$64,4,FALSE)*AJ22</f>
        <v>0</v>
      </c>
      <c r="AN22" s="666"/>
      <c r="AO22" s="899"/>
      <c r="AP22" s="900" t="s">
        <v>805</v>
      </c>
      <c r="AQ22" s="978">
        <v>0</v>
      </c>
      <c r="AR22" s="751">
        <f>VLOOKUP(AP22,Düngemittel!$B$6:$E$64,2,FALSE)*(VLOOKUP(AP22,Düngemittel!$B$6:$E$64,3,FALSE))/100*AQ22</f>
        <v>0</v>
      </c>
      <c r="AS22" s="687">
        <f>VLOOKUP(AP22,Düngemittel!$B$6:$E$64,2,FALSE)*AQ22</f>
        <v>0</v>
      </c>
      <c r="AT22" s="687">
        <f>VLOOKUP(AP22,Düngemittel!$B$6:$E$64,4,FALSE)*AQ22</f>
        <v>0</v>
      </c>
      <c r="AU22" s="666"/>
      <c r="AV22" s="899"/>
      <c r="AW22" s="900" t="s">
        <v>805</v>
      </c>
      <c r="AX22" s="978">
        <v>0</v>
      </c>
      <c r="AY22" s="751">
        <f>VLOOKUP(AW22,Düngemittel!$B$6:$E$64,2,FALSE)*(VLOOKUP(AW22,Düngemittel!$B$6:$E$64,3,FALSE))/100*AX22</f>
        <v>0</v>
      </c>
      <c r="AZ22" s="687">
        <f>VLOOKUP(AW22,Düngemittel!$B$6:$E$64,2,FALSE)*AX22</f>
        <v>0</v>
      </c>
      <c r="BA22" s="687">
        <f>VLOOKUP(AW22,Düngemittel!$B$6:$E$64,4,FALSE)*AX22</f>
        <v>0</v>
      </c>
      <c r="BB22" s="666"/>
      <c r="BC22" s="853">
        <f t="shared" si="12"/>
        <v>0</v>
      </c>
      <c r="BD22" s="308">
        <f t="shared" si="13"/>
        <v>0</v>
      </c>
      <c r="BE22" s="853">
        <f t="shared" si="13"/>
        <v>0</v>
      </c>
      <c r="BF22" s="777">
        <f t="shared" si="14"/>
        <v>0</v>
      </c>
      <c r="BG22" s="308">
        <f t="shared" si="15"/>
        <v>0</v>
      </c>
      <c r="BH22" s="785"/>
      <c r="BI22" s="853">
        <f t="shared" si="16"/>
        <v>0</v>
      </c>
      <c r="BJ22" s="853">
        <f t="shared" si="17"/>
        <v>0</v>
      </c>
      <c r="BK22" s="853">
        <f t="shared" si="18"/>
        <v>0</v>
      </c>
      <c r="BL22" s="853">
        <f t="shared" si="19"/>
        <v>0</v>
      </c>
      <c r="BM22" s="853">
        <f t="shared" si="20"/>
        <v>0</v>
      </c>
      <c r="BN22" s="16"/>
      <c r="BO22" s="743"/>
      <c r="BP22" s="99"/>
      <c r="BQ22" s="99"/>
      <c r="BS22" s="739"/>
      <c r="BT22" s="739"/>
      <c r="BU22" s="739"/>
      <c r="BV22" s="739"/>
      <c r="BW22" s="739"/>
      <c r="BX22" s="739"/>
    </row>
    <row r="23" spans="1:76" ht="23.25" customHeight="1" x14ac:dyDescent="0.25">
      <c r="A23" s="342">
        <v>16</v>
      </c>
      <c r="B23" s="1222">
        <v>0</v>
      </c>
      <c r="C23" s="632" t="s">
        <v>31</v>
      </c>
      <c r="D23" s="408">
        <f t="shared" si="0"/>
        <v>0</v>
      </c>
      <c r="E23" s="285">
        <f t="shared" si="1"/>
        <v>0</v>
      </c>
      <c r="F23" s="409">
        <f t="shared" si="24"/>
        <v>0</v>
      </c>
      <c r="G23" s="1238">
        <v>0</v>
      </c>
      <c r="H23" s="918">
        <v>0</v>
      </c>
      <c r="I23" s="413">
        <f t="shared" si="25"/>
        <v>0</v>
      </c>
      <c r="J23" s="433">
        <v>0</v>
      </c>
      <c r="K23" s="427">
        <f t="shared" si="26"/>
        <v>0</v>
      </c>
      <c r="L23" s="1220"/>
      <c r="M23" s="587">
        <f t="shared" si="2"/>
        <v>0</v>
      </c>
      <c r="N23" s="435">
        <f t="shared" si="3"/>
        <v>0</v>
      </c>
      <c r="O23" s="499">
        <f t="shared" si="4"/>
        <v>0</v>
      </c>
      <c r="P23" s="435">
        <f t="shared" si="5"/>
        <v>0</v>
      </c>
      <c r="Q23" s="474"/>
      <c r="R23" s="775">
        <f t="shared" si="10"/>
        <v>16</v>
      </c>
      <c r="S23" s="775" t="str">
        <f t="shared" si="11"/>
        <v>keine</v>
      </c>
      <c r="T23" s="901"/>
      <c r="U23" s="900" t="s">
        <v>805</v>
      </c>
      <c r="V23" s="324">
        <v>0</v>
      </c>
      <c r="W23" s="751">
        <f>VLOOKUP(U23,Düngemittel!$B$6:$E$64,2,FALSE)*(VLOOKUP(U23,Düngemittel!$B$6:$E$64,3,FALSE))/100*V23</f>
        <v>0</v>
      </c>
      <c r="X23" s="687">
        <f>VLOOKUP(U23,Düngemittel!$B$6:$E$64,2,FALSE)*V23</f>
        <v>0</v>
      </c>
      <c r="Y23" s="687">
        <f>VLOOKUP(U23,Düngemittel!$B$6:$E$64,4,FALSE)*V23</f>
        <v>0</v>
      </c>
      <c r="Z23" s="666"/>
      <c r="AA23" s="899"/>
      <c r="AB23" s="900" t="s">
        <v>805</v>
      </c>
      <c r="AC23" s="978">
        <v>0</v>
      </c>
      <c r="AD23" s="751">
        <f>VLOOKUP(AB23,Düngemittel!$B$6:$E$64,2,FALSE)*(VLOOKUP(AB23,Düngemittel!$B$6:$E$64,3,FALSE))/100*AC23</f>
        <v>0</v>
      </c>
      <c r="AE23" s="687">
        <f>VLOOKUP(AB23,Düngemittel!$B$6:$E$64,2,FALSE)*AC23</f>
        <v>0</v>
      </c>
      <c r="AF23" s="687">
        <f>VLOOKUP(AB23,Düngemittel!$B$6:$E$64,4,FALSE)*AC23</f>
        <v>0</v>
      </c>
      <c r="AG23" s="666"/>
      <c r="AH23" s="899"/>
      <c r="AI23" s="900" t="s">
        <v>805</v>
      </c>
      <c r="AJ23" s="978">
        <v>0</v>
      </c>
      <c r="AK23" s="751">
        <f>VLOOKUP(AI23,Düngemittel!$B$6:$E$64,2,FALSE)*(VLOOKUP(AI23,Düngemittel!$B$6:$E$64,3,FALSE))/100*AJ23</f>
        <v>0</v>
      </c>
      <c r="AL23" s="687">
        <f>VLOOKUP(AI23,Düngemittel!$B$6:$E$64,2,FALSE)*AJ23</f>
        <v>0</v>
      </c>
      <c r="AM23" s="687">
        <f>VLOOKUP(AI23,Düngemittel!$B$6:$E$64,4,FALSE)*AJ23</f>
        <v>0</v>
      </c>
      <c r="AN23" s="666"/>
      <c r="AO23" s="899"/>
      <c r="AP23" s="900" t="s">
        <v>805</v>
      </c>
      <c r="AQ23" s="978">
        <v>0</v>
      </c>
      <c r="AR23" s="751">
        <f>VLOOKUP(AP23,Düngemittel!$B$6:$E$64,2,FALSE)*(VLOOKUP(AP23,Düngemittel!$B$6:$E$64,3,FALSE))/100*AQ23</f>
        <v>0</v>
      </c>
      <c r="AS23" s="687">
        <f>VLOOKUP(AP23,Düngemittel!$B$6:$E$64,2,FALSE)*AQ23</f>
        <v>0</v>
      </c>
      <c r="AT23" s="687">
        <f>VLOOKUP(AP23,Düngemittel!$B$6:$E$64,4,FALSE)*AQ23</f>
        <v>0</v>
      </c>
      <c r="AU23" s="666"/>
      <c r="AV23" s="899"/>
      <c r="AW23" s="900" t="s">
        <v>805</v>
      </c>
      <c r="AX23" s="978">
        <v>0</v>
      </c>
      <c r="AY23" s="751">
        <f>VLOOKUP(AW23,Düngemittel!$B$6:$E$64,2,FALSE)*(VLOOKUP(AW23,Düngemittel!$B$6:$E$64,3,FALSE))/100*AX23</f>
        <v>0</v>
      </c>
      <c r="AZ23" s="687">
        <f>VLOOKUP(AW23,Düngemittel!$B$6:$E$64,2,FALSE)*AX23</f>
        <v>0</v>
      </c>
      <c r="BA23" s="687">
        <f>VLOOKUP(AW23,Düngemittel!$B$6:$E$64,4,FALSE)*AX23</f>
        <v>0</v>
      </c>
      <c r="BB23" s="666"/>
      <c r="BC23" s="853">
        <f t="shared" si="12"/>
        <v>0</v>
      </c>
      <c r="BD23" s="308">
        <f t="shared" si="13"/>
        <v>0</v>
      </c>
      <c r="BE23" s="853">
        <f t="shared" si="13"/>
        <v>0</v>
      </c>
      <c r="BF23" s="777">
        <f t="shared" si="14"/>
        <v>0</v>
      </c>
      <c r="BG23" s="308">
        <f t="shared" si="15"/>
        <v>0</v>
      </c>
      <c r="BH23" s="785"/>
      <c r="BI23" s="853">
        <f t="shared" si="16"/>
        <v>0</v>
      </c>
      <c r="BJ23" s="853">
        <f t="shared" si="17"/>
        <v>0</v>
      </c>
      <c r="BK23" s="853">
        <f t="shared" si="18"/>
        <v>0</v>
      </c>
      <c r="BL23" s="853">
        <f t="shared" si="19"/>
        <v>0</v>
      </c>
      <c r="BM23" s="853">
        <f t="shared" si="20"/>
        <v>0</v>
      </c>
      <c r="BN23" s="16"/>
      <c r="BO23" s="743"/>
      <c r="BP23" s="99"/>
      <c r="BQ23" s="99"/>
      <c r="BS23" s="739"/>
      <c r="BT23" s="739"/>
      <c r="BU23" s="739"/>
      <c r="BV23" s="739"/>
      <c r="BW23" s="739"/>
      <c r="BX23" s="739"/>
    </row>
    <row r="24" spans="1:76" ht="23.25" customHeight="1" x14ac:dyDescent="0.25">
      <c r="A24" s="342">
        <v>17</v>
      </c>
      <c r="B24" s="1222">
        <v>0</v>
      </c>
      <c r="C24" s="632" t="s">
        <v>31</v>
      </c>
      <c r="D24" s="408">
        <f t="shared" si="0"/>
        <v>0</v>
      </c>
      <c r="E24" s="285">
        <f t="shared" si="1"/>
        <v>0</v>
      </c>
      <c r="F24" s="409">
        <f t="shared" si="24"/>
        <v>0</v>
      </c>
      <c r="G24" s="1238">
        <v>0</v>
      </c>
      <c r="H24" s="918">
        <v>0</v>
      </c>
      <c r="I24" s="413">
        <f t="shared" si="25"/>
        <v>0</v>
      </c>
      <c r="J24" s="433">
        <v>0</v>
      </c>
      <c r="K24" s="427">
        <f t="shared" si="26"/>
        <v>0</v>
      </c>
      <c r="L24" s="1220"/>
      <c r="M24" s="587">
        <f t="shared" si="2"/>
        <v>0</v>
      </c>
      <c r="N24" s="435">
        <f t="shared" si="3"/>
        <v>0</v>
      </c>
      <c r="O24" s="499">
        <f t="shared" si="4"/>
        <v>0</v>
      </c>
      <c r="P24" s="435">
        <f t="shared" si="5"/>
        <v>0</v>
      </c>
      <c r="Q24" s="476"/>
      <c r="R24" s="775">
        <f t="shared" si="10"/>
        <v>17</v>
      </c>
      <c r="S24" s="775" t="str">
        <f t="shared" si="11"/>
        <v>keine</v>
      </c>
      <c r="T24" s="901"/>
      <c r="U24" s="900" t="s">
        <v>805</v>
      </c>
      <c r="V24" s="324">
        <v>0</v>
      </c>
      <c r="W24" s="751">
        <f>VLOOKUP(U24,Düngemittel!$B$6:$E$64,2,FALSE)*(VLOOKUP(U24,Düngemittel!$B$6:$E$64,3,FALSE))/100*V24</f>
        <v>0</v>
      </c>
      <c r="X24" s="687">
        <f>VLOOKUP(U24,Düngemittel!$B$6:$E$64,2,FALSE)*V24</f>
        <v>0</v>
      </c>
      <c r="Y24" s="687">
        <f>VLOOKUP(U24,Düngemittel!$B$6:$E$64,4,FALSE)*V24</f>
        <v>0</v>
      </c>
      <c r="Z24" s="666"/>
      <c r="AA24" s="899"/>
      <c r="AB24" s="900" t="s">
        <v>805</v>
      </c>
      <c r="AC24" s="978">
        <v>0</v>
      </c>
      <c r="AD24" s="751">
        <f>VLOOKUP(AB24,Düngemittel!$B$6:$E$64,2,FALSE)*(VLOOKUP(AB24,Düngemittel!$B$6:$E$64,3,FALSE))/100*AC24</f>
        <v>0</v>
      </c>
      <c r="AE24" s="687">
        <f>VLOOKUP(AB24,Düngemittel!$B$6:$E$64,2,FALSE)*AC24</f>
        <v>0</v>
      </c>
      <c r="AF24" s="687">
        <f>VLOOKUP(AB24,Düngemittel!$B$6:$E$64,4,FALSE)*AC24</f>
        <v>0</v>
      </c>
      <c r="AG24" s="666"/>
      <c r="AH24" s="899"/>
      <c r="AI24" s="900" t="s">
        <v>805</v>
      </c>
      <c r="AJ24" s="978">
        <v>0</v>
      </c>
      <c r="AK24" s="751">
        <f>VLOOKUP(AI24,Düngemittel!$B$6:$E$64,2,FALSE)*(VLOOKUP(AI24,Düngemittel!$B$6:$E$64,3,FALSE))/100*AJ24</f>
        <v>0</v>
      </c>
      <c r="AL24" s="687">
        <f>VLOOKUP(AI24,Düngemittel!$B$6:$E$64,2,FALSE)*AJ24</f>
        <v>0</v>
      </c>
      <c r="AM24" s="687">
        <f>VLOOKUP(AI24,Düngemittel!$B$6:$E$64,4,FALSE)*AJ24</f>
        <v>0</v>
      </c>
      <c r="AN24" s="666"/>
      <c r="AO24" s="899"/>
      <c r="AP24" s="900" t="s">
        <v>805</v>
      </c>
      <c r="AQ24" s="978">
        <v>0</v>
      </c>
      <c r="AR24" s="751">
        <f>VLOOKUP(AP24,Düngemittel!$B$6:$E$64,2,FALSE)*(VLOOKUP(AP24,Düngemittel!$B$6:$E$64,3,FALSE))/100*AQ24</f>
        <v>0</v>
      </c>
      <c r="AS24" s="687">
        <f>VLOOKUP(AP24,Düngemittel!$B$6:$E$64,2,FALSE)*AQ24</f>
        <v>0</v>
      </c>
      <c r="AT24" s="687">
        <f>VLOOKUP(AP24,Düngemittel!$B$6:$E$64,4,FALSE)*AQ24</f>
        <v>0</v>
      </c>
      <c r="AU24" s="666"/>
      <c r="AV24" s="899"/>
      <c r="AW24" s="900" t="s">
        <v>805</v>
      </c>
      <c r="AX24" s="978">
        <v>0</v>
      </c>
      <c r="AY24" s="751">
        <f>VLOOKUP(AW24,Düngemittel!$B$6:$E$64,2,FALSE)*(VLOOKUP(AW24,Düngemittel!$B$6:$E$64,3,FALSE))/100*AX24</f>
        <v>0</v>
      </c>
      <c r="AZ24" s="687">
        <f>VLOOKUP(AW24,Düngemittel!$B$6:$E$64,2,FALSE)*AX24</f>
        <v>0</v>
      </c>
      <c r="BA24" s="687">
        <f>VLOOKUP(AW24,Düngemittel!$B$6:$E$64,4,FALSE)*AX24</f>
        <v>0</v>
      </c>
      <c r="BB24" s="666"/>
      <c r="BC24" s="853">
        <f t="shared" si="12"/>
        <v>0</v>
      </c>
      <c r="BD24" s="308">
        <f t="shared" si="13"/>
        <v>0</v>
      </c>
      <c r="BE24" s="853">
        <f t="shared" si="13"/>
        <v>0</v>
      </c>
      <c r="BF24" s="777">
        <f t="shared" si="14"/>
        <v>0</v>
      </c>
      <c r="BG24" s="308">
        <f t="shared" si="15"/>
        <v>0</v>
      </c>
      <c r="BH24" s="785"/>
      <c r="BI24" s="853">
        <f t="shared" si="16"/>
        <v>0</v>
      </c>
      <c r="BJ24" s="853">
        <f t="shared" si="17"/>
        <v>0</v>
      </c>
      <c r="BK24" s="853">
        <f t="shared" si="18"/>
        <v>0</v>
      </c>
      <c r="BL24" s="853">
        <f t="shared" si="19"/>
        <v>0</v>
      </c>
      <c r="BM24" s="853">
        <f t="shared" si="20"/>
        <v>0</v>
      </c>
      <c r="BN24" s="16"/>
      <c r="BO24" s="735" t="s">
        <v>755</v>
      </c>
      <c r="BS24" s="739"/>
      <c r="BT24" s="741" t="s">
        <v>84</v>
      </c>
      <c r="BU24" s="737"/>
      <c r="BV24" s="739"/>
      <c r="BW24" s="739"/>
      <c r="BX24" s="739"/>
    </row>
    <row r="25" spans="1:76" ht="23.25" customHeight="1" x14ac:dyDescent="0.25">
      <c r="A25" s="342">
        <v>18</v>
      </c>
      <c r="B25" s="1222">
        <v>0</v>
      </c>
      <c r="C25" s="632" t="s">
        <v>31</v>
      </c>
      <c r="D25" s="408">
        <f t="shared" si="0"/>
        <v>0</v>
      </c>
      <c r="E25" s="285">
        <f t="shared" si="1"/>
        <v>0</v>
      </c>
      <c r="F25" s="409">
        <f t="shared" si="24"/>
        <v>0</v>
      </c>
      <c r="G25" s="1238">
        <v>0</v>
      </c>
      <c r="H25" s="918">
        <v>0</v>
      </c>
      <c r="I25" s="413">
        <f t="shared" si="25"/>
        <v>0</v>
      </c>
      <c r="J25" s="433">
        <v>0</v>
      </c>
      <c r="K25" s="427">
        <f t="shared" si="26"/>
        <v>0</v>
      </c>
      <c r="L25" s="1220"/>
      <c r="M25" s="587">
        <f t="shared" si="2"/>
        <v>0</v>
      </c>
      <c r="N25" s="435">
        <f t="shared" si="3"/>
        <v>0</v>
      </c>
      <c r="O25" s="499">
        <f t="shared" si="4"/>
        <v>0</v>
      </c>
      <c r="P25" s="435">
        <f t="shared" si="5"/>
        <v>0</v>
      </c>
      <c r="R25" s="775">
        <f t="shared" si="10"/>
        <v>18</v>
      </c>
      <c r="S25" s="775" t="str">
        <f t="shared" si="11"/>
        <v>keine</v>
      </c>
      <c r="T25" s="901"/>
      <c r="U25" s="900" t="s">
        <v>805</v>
      </c>
      <c r="V25" s="324">
        <v>0</v>
      </c>
      <c r="W25" s="751">
        <f>VLOOKUP(U25,Düngemittel!$B$6:$E$64,2,FALSE)*(VLOOKUP(U25,Düngemittel!$B$6:$E$64,3,FALSE))/100*V25</f>
        <v>0</v>
      </c>
      <c r="X25" s="687">
        <f>VLOOKUP(U25,Düngemittel!$B$6:$E$64,2,FALSE)*V25</f>
        <v>0</v>
      </c>
      <c r="Y25" s="687">
        <f>VLOOKUP(U25,Düngemittel!$B$6:$E$64,4,FALSE)*V25</f>
        <v>0</v>
      </c>
      <c r="Z25" s="666"/>
      <c r="AA25" s="899"/>
      <c r="AB25" s="900" t="s">
        <v>805</v>
      </c>
      <c r="AC25" s="978">
        <v>0</v>
      </c>
      <c r="AD25" s="751">
        <f>VLOOKUP(AB25,Düngemittel!$B$6:$E$64,2,FALSE)*(VLOOKUP(AB25,Düngemittel!$B$6:$E$64,3,FALSE))/100*AC25</f>
        <v>0</v>
      </c>
      <c r="AE25" s="687">
        <f>VLOOKUP(AB25,Düngemittel!$B$6:$E$64,2,FALSE)*AC25</f>
        <v>0</v>
      </c>
      <c r="AF25" s="687">
        <f>VLOOKUP(AB25,Düngemittel!$B$6:$E$64,4,FALSE)*AC25</f>
        <v>0</v>
      </c>
      <c r="AG25" s="666"/>
      <c r="AH25" s="899"/>
      <c r="AI25" s="900" t="s">
        <v>805</v>
      </c>
      <c r="AJ25" s="978">
        <v>0</v>
      </c>
      <c r="AK25" s="751">
        <f>VLOOKUP(AI25,Düngemittel!$B$6:$E$64,2,FALSE)*(VLOOKUP(AI25,Düngemittel!$B$6:$E$64,3,FALSE))/100*AJ25</f>
        <v>0</v>
      </c>
      <c r="AL25" s="687">
        <f>VLOOKUP(AI25,Düngemittel!$B$6:$E$64,2,FALSE)*AJ25</f>
        <v>0</v>
      </c>
      <c r="AM25" s="687">
        <f>VLOOKUP(AI25,Düngemittel!$B$6:$E$64,4,FALSE)*AJ25</f>
        <v>0</v>
      </c>
      <c r="AN25" s="666"/>
      <c r="AO25" s="899"/>
      <c r="AP25" s="900" t="s">
        <v>805</v>
      </c>
      <c r="AQ25" s="978">
        <v>0</v>
      </c>
      <c r="AR25" s="751">
        <f>VLOOKUP(AP25,Düngemittel!$B$6:$E$64,2,FALSE)*(VLOOKUP(AP25,Düngemittel!$B$6:$E$64,3,FALSE))/100*AQ25</f>
        <v>0</v>
      </c>
      <c r="AS25" s="687">
        <f>VLOOKUP(AP25,Düngemittel!$B$6:$E$64,2,FALSE)*AQ25</f>
        <v>0</v>
      </c>
      <c r="AT25" s="687">
        <f>VLOOKUP(AP25,Düngemittel!$B$6:$E$64,4,FALSE)*AQ25</f>
        <v>0</v>
      </c>
      <c r="AU25" s="666"/>
      <c r="AV25" s="899"/>
      <c r="AW25" s="900" t="s">
        <v>805</v>
      </c>
      <c r="AX25" s="978">
        <v>0</v>
      </c>
      <c r="AY25" s="751">
        <f>VLOOKUP(AW25,Düngemittel!$B$6:$E$64,2,FALSE)*(VLOOKUP(AW25,Düngemittel!$B$6:$E$64,3,FALSE))/100*AX25</f>
        <v>0</v>
      </c>
      <c r="AZ25" s="687">
        <f>VLOOKUP(AW25,Düngemittel!$B$6:$E$64,2,FALSE)*AX25</f>
        <v>0</v>
      </c>
      <c r="BA25" s="687">
        <f>VLOOKUP(AW25,Düngemittel!$B$6:$E$64,4,FALSE)*AX25</f>
        <v>0</v>
      </c>
      <c r="BB25" s="666"/>
      <c r="BC25" s="853">
        <f t="shared" si="12"/>
        <v>0</v>
      </c>
      <c r="BD25" s="308">
        <f t="shared" si="13"/>
        <v>0</v>
      </c>
      <c r="BE25" s="853">
        <f t="shared" si="13"/>
        <v>0</v>
      </c>
      <c r="BF25" s="777">
        <f t="shared" si="14"/>
        <v>0</v>
      </c>
      <c r="BG25" s="308">
        <f t="shared" si="15"/>
        <v>0</v>
      </c>
      <c r="BH25" s="785"/>
      <c r="BI25" s="853">
        <f t="shared" si="16"/>
        <v>0</v>
      </c>
      <c r="BJ25" s="853">
        <f t="shared" si="17"/>
        <v>0</v>
      </c>
      <c r="BK25" s="853">
        <f t="shared" si="18"/>
        <v>0</v>
      </c>
      <c r="BL25" s="853">
        <f t="shared" si="19"/>
        <v>0</v>
      </c>
      <c r="BM25" s="853">
        <f t="shared" si="20"/>
        <v>0</v>
      </c>
      <c r="BN25" s="16"/>
      <c r="BO25" s="17"/>
      <c r="BS25" s="739"/>
      <c r="BT25" s="740" t="s">
        <v>90</v>
      </c>
      <c r="BU25" s="737">
        <v>0</v>
      </c>
      <c r="BV25" s="739"/>
      <c r="BW25" s="739"/>
      <c r="BX25" s="739"/>
    </row>
    <row r="26" spans="1:76" ht="23.25" customHeight="1" x14ac:dyDescent="0.25">
      <c r="A26" s="342">
        <v>19</v>
      </c>
      <c r="B26" s="1222">
        <v>0</v>
      </c>
      <c r="C26" s="632" t="s">
        <v>31</v>
      </c>
      <c r="D26" s="408">
        <f t="shared" si="0"/>
        <v>0</v>
      </c>
      <c r="E26" s="285">
        <f t="shared" si="1"/>
        <v>0</v>
      </c>
      <c r="F26" s="409">
        <f t="shared" ref="F26:F31" si="27">D26*E26/6.25</f>
        <v>0</v>
      </c>
      <c r="G26" s="1238">
        <v>0</v>
      </c>
      <c r="H26" s="918">
        <v>0</v>
      </c>
      <c r="I26" s="413">
        <f t="shared" ref="I26:I31" si="28">G26*H26/6.25</f>
        <v>0</v>
      </c>
      <c r="J26" s="433">
        <v>0</v>
      </c>
      <c r="K26" s="427">
        <f t="shared" ref="K26:K31" si="29">IF(J26="Reinbestand",I26,J26*3)</f>
        <v>0</v>
      </c>
      <c r="L26" s="1220"/>
      <c r="M26" s="587">
        <f t="shared" si="2"/>
        <v>0</v>
      </c>
      <c r="N26" s="435">
        <f t="shared" si="3"/>
        <v>0</v>
      </c>
      <c r="O26" s="499">
        <f t="shared" si="4"/>
        <v>0</v>
      </c>
      <c r="P26" s="435">
        <f t="shared" si="5"/>
        <v>0</v>
      </c>
      <c r="Q26" s="724"/>
      <c r="R26" s="775">
        <f t="shared" si="10"/>
        <v>19</v>
      </c>
      <c r="S26" s="775" t="str">
        <f t="shared" si="11"/>
        <v>keine</v>
      </c>
      <c r="T26" s="901"/>
      <c r="U26" s="900" t="s">
        <v>805</v>
      </c>
      <c r="V26" s="324">
        <v>0</v>
      </c>
      <c r="W26" s="751">
        <f>VLOOKUP(U26,Düngemittel!$B$6:$E$64,2,FALSE)*(VLOOKUP(U26,Düngemittel!$B$6:$E$64,3,FALSE))/100*V26</f>
        <v>0</v>
      </c>
      <c r="X26" s="687">
        <f>VLOOKUP(U26,Düngemittel!$B$6:$E$64,2,FALSE)*V26</f>
        <v>0</v>
      </c>
      <c r="Y26" s="687">
        <f>VLOOKUP(U26,Düngemittel!$B$6:$E$64,4,FALSE)*V26</f>
        <v>0</v>
      </c>
      <c r="Z26" s="666"/>
      <c r="AA26" s="899"/>
      <c r="AB26" s="900" t="s">
        <v>805</v>
      </c>
      <c r="AC26" s="978">
        <v>0</v>
      </c>
      <c r="AD26" s="751">
        <f>VLOOKUP(AB26,Düngemittel!$B$6:$E$64,2,FALSE)*(VLOOKUP(AB26,Düngemittel!$B$6:$E$64,3,FALSE))/100*AC26</f>
        <v>0</v>
      </c>
      <c r="AE26" s="687">
        <f>VLOOKUP(AB26,Düngemittel!$B$6:$E$64,2,FALSE)*AC26</f>
        <v>0</v>
      </c>
      <c r="AF26" s="687">
        <f>VLOOKUP(AB26,Düngemittel!$B$6:$E$64,4,FALSE)*AC26</f>
        <v>0</v>
      </c>
      <c r="AG26" s="666"/>
      <c r="AH26" s="899"/>
      <c r="AI26" s="900" t="s">
        <v>805</v>
      </c>
      <c r="AJ26" s="978">
        <v>0</v>
      </c>
      <c r="AK26" s="751">
        <f>VLOOKUP(AI26,Düngemittel!$B$6:$E$64,2,FALSE)*(VLOOKUP(AI26,Düngemittel!$B$6:$E$64,3,FALSE))/100*AJ26</f>
        <v>0</v>
      </c>
      <c r="AL26" s="687">
        <f>VLOOKUP(AI26,Düngemittel!$B$6:$E$64,2,FALSE)*AJ26</f>
        <v>0</v>
      </c>
      <c r="AM26" s="687">
        <f>VLOOKUP(AI26,Düngemittel!$B$6:$E$64,4,FALSE)*AJ26</f>
        <v>0</v>
      </c>
      <c r="AN26" s="666"/>
      <c r="AO26" s="899"/>
      <c r="AP26" s="900" t="s">
        <v>805</v>
      </c>
      <c r="AQ26" s="978">
        <v>0</v>
      </c>
      <c r="AR26" s="751">
        <f>VLOOKUP(AP26,Düngemittel!$B$6:$E$64,2,FALSE)*(VLOOKUP(AP26,Düngemittel!$B$6:$E$64,3,FALSE))/100*AQ26</f>
        <v>0</v>
      </c>
      <c r="AS26" s="687">
        <f>VLOOKUP(AP26,Düngemittel!$B$6:$E$64,2,FALSE)*AQ26</f>
        <v>0</v>
      </c>
      <c r="AT26" s="687">
        <f>VLOOKUP(AP26,Düngemittel!$B$6:$E$64,4,FALSE)*AQ26</f>
        <v>0</v>
      </c>
      <c r="AU26" s="666"/>
      <c r="AV26" s="899"/>
      <c r="AW26" s="900" t="s">
        <v>805</v>
      </c>
      <c r="AX26" s="978">
        <v>0</v>
      </c>
      <c r="AY26" s="751">
        <f>VLOOKUP(AW26,Düngemittel!$B$6:$E$64,2,FALSE)*(VLOOKUP(AW26,Düngemittel!$B$6:$E$64,3,FALSE))/100*AX26</f>
        <v>0</v>
      </c>
      <c r="AZ26" s="687">
        <f>VLOOKUP(AW26,Düngemittel!$B$6:$E$64,2,FALSE)*AX26</f>
        <v>0</v>
      </c>
      <c r="BA26" s="687">
        <f>VLOOKUP(AW26,Düngemittel!$B$6:$E$64,4,FALSE)*AX26</f>
        <v>0</v>
      </c>
      <c r="BB26" s="666"/>
      <c r="BC26" s="853">
        <f t="shared" si="12"/>
        <v>0</v>
      </c>
      <c r="BD26" s="308">
        <f t="shared" si="13"/>
        <v>0</v>
      </c>
      <c r="BE26" s="853">
        <f t="shared" si="13"/>
        <v>0</v>
      </c>
      <c r="BF26" s="777">
        <f t="shared" si="14"/>
        <v>0</v>
      </c>
      <c r="BG26" s="308">
        <f t="shared" si="15"/>
        <v>0</v>
      </c>
      <c r="BH26" s="785"/>
      <c r="BI26" s="853">
        <f t="shared" si="16"/>
        <v>0</v>
      </c>
      <c r="BJ26" s="853">
        <f t="shared" si="17"/>
        <v>0</v>
      </c>
      <c r="BK26" s="853">
        <f t="shared" si="18"/>
        <v>0</v>
      </c>
      <c r="BL26" s="853">
        <f t="shared" si="19"/>
        <v>0</v>
      </c>
      <c r="BM26" s="853">
        <f t="shared" si="20"/>
        <v>0</v>
      </c>
      <c r="BN26" s="16"/>
      <c r="BO26" s="17"/>
      <c r="BS26" s="739"/>
      <c r="BT26" s="740" t="s">
        <v>88</v>
      </c>
      <c r="BU26" s="737">
        <v>20</v>
      </c>
      <c r="BV26" s="739"/>
      <c r="BW26" s="739"/>
      <c r="BX26" s="739"/>
    </row>
    <row r="27" spans="1:76" ht="23.25" customHeight="1" x14ac:dyDescent="0.25">
      <c r="A27" s="342">
        <v>20</v>
      </c>
      <c r="B27" s="1222">
        <v>0</v>
      </c>
      <c r="C27" s="632" t="s">
        <v>31</v>
      </c>
      <c r="D27" s="408">
        <f t="shared" si="0"/>
        <v>0</v>
      </c>
      <c r="E27" s="285">
        <f t="shared" si="1"/>
        <v>0</v>
      </c>
      <c r="F27" s="409">
        <f t="shared" si="27"/>
        <v>0</v>
      </c>
      <c r="G27" s="1238">
        <v>0</v>
      </c>
      <c r="H27" s="918">
        <v>0</v>
      </c>
      <c r="I27" s="413">
        <f t="shared" si="28"/>
        <v>0</v>
      </c>
      <c r="J27" s="433">
        <v>0</v>
      </c>
      <c r="K27" s="427">
        <f t="shared" si="29"/>
        <v>0</v>
      </c>
      <c r="L27" s="1220"/>
      <c r="M27" s="587">
        <f t="shared" si="2"/>
        <v>0</v>
      </c>
      <c r="N27" s="435">
        <f t="shared" si="3"/>
        <v>0</v>
      </c>
      <c r="O27" s="499">
        <f t="shared" si="4"/>
        <v>0</v>
      </c>
      <c r="P27" s="435">
        <f t="shared" si="5"/>
        <v>0</v>
      </c>
      <c r="Q27" s="519"/>
      <c r="R27" s="775">
        <f t="shared" si="10"/>
        <v>20</v>
      </c>
      <c r="S27" s="775" t="str">
        <f t="shared" si="11"/>
        <v>keine</v>
      </c>
      <c r="T27" s="901"/>
      <c r="U27" s="900" t="s">
        <v>805</v>
      </c>
      <c r="V27" s="324">
        <v>0</v>
      </c>
      <c r="W27" s="751">
        <f>VLOOKUP(U27,Düngemittel!$B$6:$E$64,2,FALSE)*(VLOOKUP(U27,Düngemittel!$B$6:$E$64,3,FALSE))/100*V27</f>
        <v>0</v>
      </c>
      <c r="X27" s="687">
        <f>VLOOKUP(U27,Düngemittel!$B$6:$E$64,2,FALSE)*V27</f>
        <v>0</v>
      </c>
      <c r="Y27" s="687">
        <f>VLOOKUP(U27,Düngemittel!$B$6:$E$64,4,FALSE)*V27</f>
        <v>0</v>
      </c>
      <c r="Z27" s="666"/>
      <c r="AA27" s="899"/>
      <c r="AB27" s="900" t="s">
        <v>805</v>
      </c>
      <c r="AC27" s="978">
        <v>0</v>
      </c>
      <c r="AD27" s="751">
        <f>VLOOKUP(AB27,Düngemittel!$B$6:$E$64,2,FALSE)*(VLOOKUP(AB27,Düngemittel!$B$6:$E$64,3,FALSE))/100*AC27</f>
        <v>0</v>
      </c>
      <c r="AE27" s="687">
        <f>VLOOKUP(AB27,Düngemittel!$B$6:$E$64,2,FALSE)*AC27</f>
        <v>0</v>
      </c>
      <c r="AF27" s="687">
        <f>VLOOKUP(AB27,Düngemittel!$B$6:$E$64,4,FALSE)*AC27</f>
        <v>0</v>
      </c>
      <c r="AG27" s="666"/>
      <c r="AH27" s="899"/>
      <c r="AI27" s="900" t="s">
        <v>805</v>
      </c>
      <c r="AJ27" s="978">
        <v>0</v>
      </c>
      <c r="AK27" s="751">
        <f>VLOOKUP(AI27,Düngemittel!$B$6:$E$64,2,FALSE)*(VLOOKUP(AI27,Düngemittel!$B$6:$E$64,3,FALSE))/100*AJ27</f>
        <v>0</v>
      </c>
      <c r="AL27" s="687">
        <f>VLOOKUP(AI27,Düngemittel!$B$6:$E$64,2,FALSE)*AJ27</f>
        <v>0</v>
      </c>
      <c r="AM27" s="687">
        <f>VLOOKUP(AI27,Düngemittel!$B$6:$E$64,4,FALSE)*AJ27</f>
        <v>0</v>
      </c>
      <c r="AN27" s="666"/>
      <c r="AO27" s="899"/>
      <c r="AP27" s="900" t="s">
        <v>805</v>
      </c>
      <c r="AQ27" s="978">
        <v>0</v>
      </c>
      <c r="AR27" s="751">
        <f>VLOOKUP(AP27,Düngemittel!$B$6:$E$64,2,FALSE)*(VLOOKUP(AP27,Düngemittel!$B$6:$E$64,3,FALSE))/100*AQ27</f>
        <v>0</v>
      </c>
      <c r="AS27" s="687">
        <f>VLOOKUP(AP27,Düngemittel!$B$6:$E$64,2,FALSE)*AQ27</f>
        <v>0</v>
      </c>
      <c r="AT27" s="687">
        <f>VLOOKUP(AP27,Düngemittel!$B$6:$E$64,4,FALSE)*AQ27</f>
        <v>0</v>
      </c>
      <c r="AU27" s="666"/>
      <c r="AV27" s="899"/>
      <c r="AW27" s="900" t="s">
        <v>805</v>
      </c>
      <c r="AX27" s="978">
        <v>0</v>
      </c>
      <c r="AY27" s="751">
        <f>VLOOKUP(AW27,Düngemittel!$B$6:$E$64,2,FALSE)*(VLOOKUP(AW27,Düngemittel!$B$6:$E$64,3,FALSE))/100*AX27</f>
        <v>0</v>
      </c>
      <c r="AZ27" s="687">
        <f>VLOOKUP(AW27,Düngemittel!$B$6:$E$64,2,FALSE)*AX27</f>
        <v>0</v>
      </c>
      <c r="BA27" s="687">
        <f>VLOOKUP(AW27,Düngemittel!$B$6:$E$64,4,FALSE)*AX27</f>
        <v>0</v>
      </c>
      <c r="BB27" s="666"/>
      <c r="BC27" s="853">
        <f t="shared" si="12"/>
        <v>0</v>
      </c>
      <c r="BD27" s="308">
        <f t="shared" si="13"/>
        <v>0</v>
      </c>
      <c r="BE27" s="853">
        <f t="shared" si="13"/>
        <v>0</v>
      </c>
      <c r="BF27" s="777">
        <f t="shared" si="14"/>
        <v>0</v>
      </c>
      <c r="BG27" s="308">
        <f t="shared" si="15"/>
        <v>0</v>
      </c>
      <c r="BH27" s="785"/>
      <c r="BI27" s="853">
        <f t="shared" si="16"/>
        <v>0</v>
      </c>
      <c r="BJ27" s="853">
        <f t="shared" si="17"/>
        <v>0</v>
      </c>
      <c r="BK27" s="853">
        <f t="shared" si="18"/>
        <v>0</v>
      </c>
      <c r="BL27" s="853">
        <f t="shared" si="19"/>
        <v>0</v>
      </c>
      <c r="BM27" s="853">
        <f t="shared" si="20"/>
        <v>0</v>
      </c>
      <c r="BN27" s="16"/>
      <c r="BS27" s="739"/>
      <c r="BT27" s="740" t="s">
        <v>89</v>
      </c>
      <c r="BU27" s="737">
        <v>40</v>
      </c>
      <c r="BV27" s="739"/>
      <c r="BW27" s="739"/>
      <c r="BX27" s="739"/>
    </row>
    <row r="28" spans="1:76" ht="23.25" customHeight="1" x14ac:dyDescent="0.25">
      <c r="A28" s="342">
        <v>21</v>
      </c>
      <c r="B28" s="1222">
        <v>0</v>
      </c>
      <c r="C28" s="632" t="s">
        <v>31</v>
      </c>
      <c r="D28" s="408">
        <f t="shared" si="0"/>
        <v>0</v>
      </c>
      <c r="E28" s="285">
        <f t="shared" si="1"/>
        <v>0</v>
      </c>
      <c r="F28" s="409">
        <f t="shared" si="27"/>
        <v>0</v>
      </c>
      <c r="G28" s="1238">
        <v>0</v>
      </c>
      <c r="H28" s="918">
        <v>0</v>
      </c>
      <c r="I28" s="413">
        <f t="shared" si="28"/>
        <v>0</v>
      </c>
      <c r="J28" s="433">
        <v>0</v>
      </c>
      <c r="K28" s="427">
        <f t="shared" si="29"/>
        <v>0</v>
      </c>
      <c r="L28" s="1220"/>
      <c r="M28" s="587">
        <f t="shared" si="2"/>
        <v>0</v>
      </c>
      <c r="N28" s="435">
        <f t="shared" si="3"/>
        <v>0</v>
      </c>
      <c r="O28" s="499">
        <f t="shared" si="4"/>
        <v>0</v>
      </c>
      <c r="P28" s="435">
        <f t="shared" si="5"/>
        <v>0</v>
      </c>
      <c r="Q28" s="723"/>
      <c r="R28" s="775">
        <f t="shared" si="10"/>
        <v>21</v>
      </c>
      <c r="S28" s="775" t="str">
        <f t="shared" si="11"/>
        <v>keine</v>
      </c>
      <c r="T28" s="901"/>
      <c r="U28" s="900" t="s">
        <v>805</v>
      </c>
      <c r="V28" s="324">
        <v>0</v>
      </c>
      <c r="W28" s="751">
        <f>VLOOKUP(U28,Düngemittel!$B$6:$E$64,2,FALSE)*(VLOOKUP(U28,Düngemittel!$B$6:$E$64,3,FALSE))/100*V28</f>
        <v>0</v>
      </c>
      <c r="X28" s="687">
        <f>VLOOKUP(U28,Düngemittel!$B$6:$E$64,2,FALSE)*V28</f>
        <v>0</v>
      </c>
      <c r="Y28" s="687">
        <f>VLOOKUP(U28,Düngemittel!$B$6:$E$64,4,FALSE)*V28</f>
        <v>0</v>
      </c>
      <c r="Z28" s="666"/>
      <c r="AA28" s="899"/>
      <c r="AB28" s="900" t="s">
        <v>805</v>
      </c>
      <c r="AC28" s="978">
        <v>0</v>
      </c>
      <c r="AD28" s="751">
        <f>VLOOKUP(AB28,Düngemittel!$B$6:$E$64,2,FALSE)*(VLOOKUP(AB28,Düngemittel!$B$6:$E$64,3,FALSE))/100*AC28</f>
        <v>0</v>
      </c>
      <c r="AE28" s="687">
        <f>VLOOKUP(AB28,Düngemittel!$B$6:$E$64,2,FALSE)*AC28</f>
        <v>0</v>
      </c>
      <c r="AF28" s="687">
        <f>VLOOKUP(AB28,Düngemittel!$B$6:$E$64,4,FALSE)*AC28</f>
        <v>0</v>
      </c>
      <c r="AG28" s="666"/>
      <c r="AH28" s="899"/>
      <c r="AI28" s="900" t="s">
        <v>805</v>
      </c>
      <c r="AJ28" s="978">
        <v>0</v>
      </c>
      <c r="AK28" s="751">
        <f>VLOOKUP(AI28,Düngemittel!$B$6:$E$64,2,FALSE)*(VLOOKUP(AI28,Düngemittel!$B$6:$E$64,3,FALSE))/100*AJ28</f>
        <v>0</v>
      </c>
      <c r="AL28" s="687">
        <f>VLOOKUP(AI28,Düngemittel!$B$6:$E$64,2,FALSE)*AJ28</f>
        <v>0</v>
      </c>
      <c r="AM28" s="687">
        <f>VLOOKUP(AI28,Düngemittel!$B$6:$E$64,4,FALSE)*AJ28</f>
        <v>0</v>
      </c>
      <c r="AN28" s="666"/>
      <c r="AO28" s="899"/>
      <c r="AP28" s="900" t="s">
        <v>805</v>
      </c>
      <c r="AQ28" s="978">
        <v>0</v>
      </c>
      <c r="AR28" s="751">
        <f>VLOOKUP(AP28,Düngemittel!$B$6:$E$64,2,FALSE)*(VLOOKUP(AP28,Düngemittel!$B$6:$E$64,3,FALSE))/100*AQ28</f>
        <v>0</v>
      </c>
      <c r="AS28" s="687">
        <f>VLOOKUP(AP28,Düngemittel!$B$6:$E$64,2,FALSE)*AQ28</f>
        <v>0</v>
      </c>
      <c r="AT28" s="687">
        <f>VLOOKUP(AP28,Düngemittel!$B$6:$E$64,4,FALSE)*AQ28</f>
        <v>0</v>
      </c>
      <c r="AU28" s="666"/>
      <c r="AV28" s="899"/>
      <c r="AW28" s="900" t="s">
        <v>805</v>
      </c>
      <c r="AX28" s="978">
        <v>0</v>
      </c>
      <c r="AY28" s="751">
        <f>VLOOKUP(AW28,Düngemittel!$B$6:$E$64,2,FALSE)*(VLOOKUP(AW28,Düngemittel!$B$6:$E$64,3,FALSE))/100*AX28</f>
        <v>0</v>
      </c>
      <c r="AZ28" s="687">
        <f>VLOOKUP(AW28,Düngemittel!$B$6:$E$64,2,FALSE)*AX28</f>
        <v>0</v>
      </c>
      <c r="BA28" s="687">
        <f>VLOOKUP(AW28,Düngemittel!$B$6:$E$64,4,FALSE)*AX28</f>
        <v>0</v>
      </c>
      <c r="BB28" s="666"/>
      <c r="BC28" s="853">
        <f t="shared" si="12"/>
        <v>0</v>
      </c>
      <c r="BD28" s="308">
        <f t="shared" si="13"/>
        <v>0</v>
      </c>
      <c r="BE28" s="853">
        <f t="shared" si="13"/>
        <v>0</v>
      </c>
      <c r="BF28" s="777">
        <f t="shared" si="14"/>
        <v>0</v>
      </c>
      <c r="BG28" s="308">
        <f t="shared" si="15"/>
        <v>0</v>
      </c>
      <c r="BH28" s="785"/>
      <c r="BI28" s="853">
        <f t="shared" si="16"/>
        <v>0</v>
      </c>
      <c r="BJ28" s="853">
        <f t="shared" si="17"/>
        <v>0</v>
      </c>
      <c r="BK28" s="853">
        <f t="shared" si="18"/>
        <v>0</v>
      </c>
      <c r="BL28" s="853">
        <f t="shared" si="19"/>
        <v>0</v>
      </c>
      <c r="BM28" s="853">
        <f t="shared" si="20"/>
        <v>0</v>
      </c>
      <c r="BN28" s="16"/>
      <c r="BO28" s="17"/>
      <c r="BP28" s="400"/>
      <c r="BQ28" s="400"/>
      <c r="BR28" s="400"/>
      <c r="BS28" s="739"/>
      <c r="BT28" s="740" t="s">
        <v>233</v>
      </c>
      <c r="BU28" s="737">
        <v>60</v>
      </c>
      <c r="BV28" s="739"/>
      <c r="BW28" s="739"/>
      <c r="BX28" s="739"/>
    </row>
    <row r="29" spans="1:76" ht="24" customHeight="1" x14ac:dyDescent="0.25">
      <c r="A29" s="342">
        <v>22</v>
      </c>
      <c r="B29" s="1222">
        <v>0</v>
      </c>
      <c r="C29" s="632" t="s">
        <v>31</v>
      </c>
      <c r="D29" s="408">
        <f t="shared" si="0"/>
        <v>0</v>
      </c>
      <c r="E29" s="285">
        <f t="shared" si="1"/>
        <v>0</v>
      </c>
      <c r="F29" s="409">
        <f t="shared" si="27"/>
        <v>0</v>
      </c>
      <c r="G29" s="1238">
        <v>0</v>
      </c>
      <c r="H29" s="918">
        <v>0</v>
      </c>
      <c r="I29" s="413">
        <f t="shared" si="28"/>
        <v>0</v>
      </c>
      <c r="J29" s="433">
        <v>0</v>
      </c>
      <c r="K29" s="427">
        <f t="shared" si="29"/>
        <v>0</v>
      </c>
      <c r="L29" s="1220"/>
      <c r="M29" s="587">
        <f t="shared" si="2"/>
        <v>0</v>
      </c>
      <c r="N29" s="435">
        <f t="shared" si="3"/>
        <v>0</v>
      </c>
      <c r="O29" s="499">
        <f t="shared" si="4"/>
        <v>0</v>
      </c>
      <c r="P29" s="435">
        <f t="shared" si="5"/>
        <v>0</v>
      </c>
      <c r="Q29" s="16"/>
      <c r="R29" s="775">
        <f t="shared" si="10"/>
        <v>22</v>
      </c>
      <c r="S29" s="775" t="str">
        <f t="shared" si="11"/>
        <v>keine</v>
      </c>
      <c r="T29" s="901"/>
      <c r="U29" s="900" t="s">
        <v>805</v>
      </c>
      <c r="V29" s="324">
        <v>0</v>
      </c>
      <c r="W29" s="751">
        <f>VLOOKUP(U29,Düngemittel!$B$6:$E$64,2,FALSE)*(VLOOKUP(U29,Düngemittel!$B$6:$E$64,3,FALSE))/100*V29</f>
        <v>0</v>
      </c>
      <c r="X29" s="687">
        <f>VLOOKUP(U29,Düngemittel!$B$6:$E$64,2,FALSE)*V29</f>
        <v>0</v>
      </c>
      <c r="Y29" s="687">
        <f>VLOOKUP(U29,Düngemittel!$B$6:$E$64,4,FALSE)*V29</f>
        <v>0</v>
      </c>
      <c r="Z29" s="666"/>
      <c r="AA29" s="899"/>
      <c r="AB29" s="900" t="s">
        <v>805</v>
      </c>
      <c r="AC29" s="978">
        <v>0</v>
      </c>
      <c r="AD29" s="751">
        <f>VLOOKUP(AB29,Düngemittel!$B$6:$E$64,2,FALSE)*(VLOOKUP(AB29,Düngemittel!$B$6:$E$64,3,FALSE))/100*AC29</f>
        <v>0</v>
      </c>
      <c r="AE29" s="687">
        <f>VLOOKUP(AB29,Düngemittel!$B$6:$E$64,2,FALSE)*AC29</f>
        <v>0</v>
      </c>
      <c r="AF29" s="687">
        <f>VLOOKUP(AB29,Düngemittel!$B$6:$E$64,4,FALSE)*AC29</f>
        <v>0</v>
      </c>
      <c r="AG29" s="666"/>
      <c r="AH29" s="899"/>
      <c r="AI29" s="900" t="s">
        <v>805</v>
      </c>
      <c r="AJ29" s="978">
        <v>0</v>
      </c>
      <c r="AK29" s="751">
        <f>VLOOKUP(AI29,Düngemittel!$B$6:$E$64,2,FALSE)*(VLOOKUP(AI29,Düngemittel!$B$6:$E$64,3,FALSE))/100*AJ29</f>
        <v>0</v>
      </c>
      <c r="AL29" s="687">
        <f>VLOOKUP(AI29,Düngemittel!$B$6:$E$64,2,FALSE)*AJ29</f>
        <v>0</v>
      </c>
      <c r="AM29" s="687">
        <f>VLOOKUP(AI29,Düngemittel!$B$6:$E$64,4,FALSE)*AJ29</f>
        <v>0</v>
      </c>
      <c r="AN29" s="666"/>
      <c r="AO29" s="899"/>
      <c r="AP29" s="900" t="s">
        <v>805</v>
      </c>
      <c r="AQ29" s="978">
        <v>0</v>
      </c>
      <c r="AR29" s="751">
        <f>VLOOKUP(AP29,Düngemittel!$B$6:$E$64,2,FALSE)*(VLOOKUP(AP29,Düngemittel!$B$6:$E$64,3,FALSE))/100*AQ29</f>
        <v>0</v>
      </c>
      <c r="AS29" s="687">
        <f>VLOOKUP(AP29,Düngemittel!$B$6:$E$64,2,FALSE)*AQ29</f>
        <v>0</v>
      </c>
      <c r="AT29" s="687">
        <f>VLOOKUP(AP29,Düngemittel!$B$6:$E$64,4,FALSE)*AQ29</f>
        <v>0</v>
      </c>
      <c r="AU29" s="666"/>
      <c r="AV29" s="899"/>
      <c r="AW29" s="900" t="s">
        <v>805</v>
      </c>
      <c r="AX29" s="978">
        <v>0</v>
      </c>
      <c r="AY29" s="751">
        <f>VLOOKUP(AW29,Düngemittel!$B$6:$E$64,2,FALSE)*(VLOOKUP(AW29,Düngemittel!$B$6:$E$64,3,FALSE))/100*AX29</f>
        <v>0</v>
      </c>
      <c r="AZ29" s="687">
        <f>VLOOKUP(AW29,Düngemittel!$B$6:$E$64,2,FALSE)*AX29</f>
        <v>0</v>
      </c>
      <c r="BA29" s="687">
        <f>VLOOKUP(AW29,Düngemittel!$B$6:$E$64,4,FALSE)*AX29</f>
        <v>0</v>
      </c>
      <c r="BB29" s="666"/>
      <c r="BC29" s="853">
        <f t="shared" si="12"/>
        <v>0</v>
      </c>
      <c r="BD29" s="308">
        <f t="shared" si="13"/>
        <v>0</v>
      </c>
      <c r="BE29" s="853">
        <f t="shared" si="13"/>
        <v>0</v>
      </c>
      <c r="BF29" s="777">
        <f t="shared" si="14"/>
        <v>0</v>
      </c>
      <c r="BG29" s="308">
        <f t="shared" si="15"/>
        <v>0</v>
      </c>
      <c r="BH29" s="785"/>
      <c r="BI29" s="853">
        <f t="shared" si="16"/>
        <v>0</v>
      </c>
      <c r="BJ29" s="853">
        <f t="shared" si="17"/>
        <v>0</v>
      </c>
      <c r="BK29" s="853">
        <f t="shared" si="18"/>
        <v>0</v>
      </c>
      <c r="BL29" s="853">
        <f t="shared" si="19"/>
        <v>0</v>
      </c>
      <c r="BM29" s="853">
        <f t="shared" si="20"/>
        <v>0</v>
      </c>
      <c r="BN29" s="16"/>
      <c r="BO29" s="17"/>
      <c r="BQ29" s="400"/>
      <c r="BR29" s="400"/>
      <c r="BS29" s="352"/>
    </row>
    <row r="30" spans="1:76" ht="24" customHeight="1" x14ac:dyDescent="0.25">
      <c r="A30" s="342">
        <v>23</v>
      </c>
      <c r="B30" s="1222">
        <v>0</v>
      </c>
      <c r="C30" s="632" t="s">
        <v>31</v>
      </c>
      <c r="D30" s="408">
        <f t="shared" si="0"/>
        <v>0</v>
      </c>
      <c r="E30" s="285">
        <f t="shared" si="1"/>
        <v>0</v>
      </c>
      <c r="F30" s="409">
        <f t="shared" si="27"/>
        <v>0</v>
      </c>
      <c r="G30" s="1238">
        <v>0</v>
      </c>
      <c r="H30" s="918">
        <v>0</v>
      </c>
      <c r="I30" s="413">
        <f t="shared" si="28"/>
        <v>0</v>
      </c>
      <c r="J30" s="433">
        <v>0</v>
      </c>
      <c r="K30" s="427">
        <f t="shared" si="29"/>
        <v>0</v>
      </c>
      <c r="L30" s="1220"/>
      <c r="M30" s="587">
        <f t="shared" si="2"/>
        <v>0</v>
      </c>
      <c r="N30" s="435">
        <f t="shared" si="3"/>
        <v>0</v>
      </c>
      <c r="O30" s="499">
        <f t="shared" si="4"/>
        <v>0</v>
      </c>
      <c r="P30" s="435">
        <f t="shared" si="5"/>
        <v>0</v>
      </c>
      <c r="Q30" s="16"/>
      <c r="R30" s="775">
        <f t="shared" si="10"/>
        <v>23</v>
      </c>
      <c r="S30" s="775" t="str">
        <f t="shared" si="11"/>
        <v>keine</v>
      </c>
      <c r="T30" s="901"/>
      <c r="U30" s="900" t="s">
        <v>805</v>
      </c>
      <c r="V30" s="324">
        <v>0</v>
      </c>
      <c r="W30" s="751">
        <f>VLOOKUP(U30,Düngemittel!$B$6:$E$64,2,FALSE)*(VLOOKUP(U30,Düngemittel!$B$6:$E$64,3,FALSE))/100*V30</f>
        <v>0</v>
      </c>
      <c r="X30" s="687">
        <f>VLOOKUP(U30,Düngemittel!$B$6:$E$64,2,FALSE)*V30</f>
        <v>0</v>
      </c>
      <c r="Y30" s="687">
        <f>VLOOKUP(U30,Düngemittel!$B$6:$E$64,4,FALSE)*V30</f>
        <v>0</v>
      </c>
      <c r="Z30" s="666"/>
      <c r="AA30" s="899"/>
      <c r="AB30" s="900" t="s">
        <v>805</v>
      </c>
      <c r="AC30" s="978">
        <v>0</v>
      </c>
      <c r="AD30" s="751">
        <f>VLOOKUP(AB30,Düngemittel!$B$6:$E$64,2,FALSE)*(VLOOKUP(AB30,Düngemittel!$B$6:$E$64,3,FALSE))/100*AC30</f>
        <v>0</v>
      </c>
      <c r="AE30" s="687">
        <f>VLOOKUP(AB30,Düngemittel!$B$6:$E$64,2,FALSE)*AC30</f>
        <v>0</v>
      </c>
      <c r="AF30" s="687">
        <f>VLOOKUP(AB30,Düngemittel!$B$6:$E$64,4,FALSE)*AC30</f>
        <v>0</v>
      </c>
      <c r="AG30" s="666"/>
      <c r="AH30" s="899"/>
      <c r="AI30" s="900" t="s">
        <v>805</v>
      </c>
      <c r="AJ30" s="978">
        <v>0</v>
      </c>
      <c r="AK30" s="751">
        <f>VLOOKUP(AI30,Düngemittel!$B$6:$E$64,2,FALSE)*(VLOOKUP(AI30,Düngemittel!$B$6:$E$64,3,FALSE))/100*AJ30</f>
        <v>0</v>
      </c>
      <c r="AL30" s="687">
        <f>VLOOKUP(AI30,Düngemittel!$B$6:$E$64,2,FALSE)*AJ30</f>
        <v>0</v>
      </c>
      <c r="AM30" s="687">
        <f>VLOOKUP(AI30,Düngemittel!$B$6:$E$64,4,FALSE)*AJ30</f>
        <v>0</v>
      </c>
      <c r="AN30" s="666"/>
      <c r="AO30" s="899"/>
      <c r="AP30" s="900" t="s">
        <v>805</v>
      </c>
      <c r="AQ30" s="978">
        <v>0</v>
      </c>
      <c r="AR30" s="751">
        <f>VLOOKUP(AP30,Düngemittel!$B$6:$E$64,2,FALSE)*(VLOOKUP(AP30,Düngemittel!$B$6:$E$64,3,FALSE))/100*AQ30</f>
        <v>0</v>
      </c>
      <c r="AS30" s="687">
        <f>VLOOKUP(AP30,Düngemittel!$B$6:$E$64,2,FALSE)*AQ30</f>
        <v>0</v>
      </c>
      <c r="AT30" s="687">
        <f>VLOOKUP(AP30,Düngemittel!$B$6:$E$64,4,FALSE)*AQ30</f>
        <v>0</v>
      </c>
      <c r="AU30" s="666"/>
      <c r="AV30" s="899"/>
      <c r="AW30" s="900" t="s">
        <v>805</v>
      </c>
      <c r="AX30" s="978">
        <v>0</v>
      </c>
      <c r="AY30" s="751">
        <f>VLOOKUP(AW30,Düngemittel!$B$6:$E$64,2,FALSE)*(VLOOKUP(AW30,Düngemittel!$B$6:$E$64,3,FALSE))/100*AX30</f>
        <v>0</v>
      </c>
      <c r="AZ30" s="687">
        <f>VLOOKUP(AW30,Düngemittel!$B$6:$E$64,2,FALSE)*AX30</f>
        <v>0</v>
      </c>
      <c r="BA30" s="687">
        <f>VLOOKUP(AW30,Düngemittel!$B$6:$E$64,4,FALSE)*AX30</f>
        <v>0</v>
      </c>
      <c r="BB30" s="666"/>
      <c r="BC30" s="853">
        <f t="shared" si="12"/>
        <v>0</v>
      </c>
      <c r="BD30" s="308">
        <f t="shared" si="13"/>
        <v>0</v>
      </c>
      <c r="BE30" s="853">
        <f t="shared" si="13"/>
        <v>0</v>
      </c>
      <c r="BF30" s="777">
        <f t="shared" si="14"/>
        <v>0</v>
      </c>
      <c r="BG30" s="308">
        <f t="shared" si="15"/>
        <v>0</v>
      </c>
      <c r="BH30" s="785"/>
      <c r="BI30" s="853">
        <f t="shared" si="16"/>
        <v>0</v>
      </c>
      <c r="BJ30" s="853">
        <f t="shared" si="17"/>
        <v>0</v>
      </c>
      <c r="BK30" s="853">
        <f t="shared" si="18"/>
        <v>0</v>
      </c>
      <c r="BL30" s="853">
        <f t="shared" si="19"/>
        <v>0</v>
      </c>
      <c r="BM30" s="853">
        <f t="shared" si="20"/>
        <v>0</v>
      </c>
      <c r="BN30" s="16"/>
      <c r="BO30" s="148"/>
      <c r="BQ30" s="400"/>
    </row>
    <row r="31" spans="1:76" ht="24" customHeight="1" thickBot="1" x14ac:dyDescent="0.3">
      <c r="A31" s="342">
        <v>24</v>
      </c>
      <c r="B31" s="1222">
        <v>0</v>
      </c>
      <c r="C31" s="632" t="s">
        <v>31</v>
      </c>
      <c r="D31" s="408">
        <f t="shared" si="0"/>
        <v>0</v>
      </c>
      <c r="E31" s="285">
        <f t="shared" si="1"/>
        <v>0</v>
      </c>
      <c r="F31" s="409">
        <f t="shared" si="27"/>
        <v>0</v>
      </c>
      <c r="G31" s="1238">
        <v>0</v>
      </c>
      <c r="H31" s="918">
        <v>0</v>
      </c>
      <c r="I31" s="413">
        <f t="shared" si="28"/>
        <v>0</v>
      </c>
      <c r="J31" s="433">
        <v>0</v>
      </c>
      <c r="K31" s="427">
        <f t="shared" si="29"/>
        <v>0</v>
      </c>
      <c r="L31" s="1220"/>
      <c r="M31" s="587">
        <f t="shared" si="2"/>
        <v>0</v>
      </c>
      <c r="N31" s="435">
        <f t="shared" si="3"/>
        <v>0</v>
      </c>
      <c r="O31" s="499">
        <f t="shared" si="4"/>
        <v>0</v>
      </c>
      <c r="P31" s="435">
        <f t="shared" si="5"/>
        <v>0</v>
      </c>
      <c r="Q31" s="16"/>
      <c r="R31" s="775">
        <f t="shared" si="10"/>
        <v>24</v>
      </c>
      <c r="S31" s="775" t="str">
        <f t="shared" si="11"/>
        <v>keine</v>
      </c>
      <c r="T31" s="886"/>
      <c r="U31" s="887" t="s">
        <v>805</v>
      </c>
      <c r="V31" s="906">
        <v>0</v>
      </c>
      <c r="W31" s="751">
        <f>VLOOKUP(U31,Düngemittel!$B$6:$E$64,2,FALSE)*(VLOOKUP(U31,Düngemittel!$B$6:$E$64,3,FALSE))/100*V31</f>
        <v>0</v>
      </c>
      <c r="X31" s="687">
        <f>VLOOKUP(U31,Düngemittel!$B$6:$E$64,2,FALSE)*V31</f>
        <v>0</v>
      </c>
      <c r="Y31" s="687">
        <f>VLOOKUP(U31,Düngemittel!$B$6:$E$64,4,FALSE)*V31</f>
        <v>0</v>
      </c>
      <c r="Z31" s="666"/>
      <c r="AA31" s="899"/>
      <c r="AB31" s="900" t="s">
        <v>805</v>
      </c>
      <c r="AC31" s="978">
        <v>0</v>
      </c>
      <c r="AD31" s="751">
        <f>VLOOKUP(AB31,Düngemittel!$B$6:$E$64,2,FALSE)*(VLOOKUP(AB31,Düngemittel!$B$6:$E$64,3,FALSE))/100*AC31</f>
        <v>0</v>
      </c>
      <c r="AE31" s="687">
        <f>VLOOKUP(AB31,Düngemittel!$B$6:$E$64,2,FALSE)*AC31</f>
        <v>0</v>
      </c>
      <c r="AF31" s="687">
        <f>VLOOKUP(AB31,Düngemittel!$B$6:$E$64,4,FALSE)*AC31</f>
        <v>0</v>
      </c>
      <c r="AG31" s="666"/>
      <c r="AH31" s="899"/>
      <c r="AI31" s="900" t="s">
        <v>805</v>
      </c>
      <c r="AJ31" s="978">
        <v>0</v>
      </c>
      <c r="AK31" s="751">
        <f>VLOOKUP(AI31,Düngemittel!$B$6:$E$64,2,FALSE)*(VLOOKUP(AI31,Düngemittel!$B$6:$E$64,3,FALSE))/100*AJ31</f>
        <v>0</v>
      </c>
      <c r="AL31" s="687">
        <f>VLOOKUP(AI31,Düngemittel!$B$6:$E$64,2,FALSE)*AJ31</f>
        <v>0</v>
      </c>
      <c r="AM31" s="687">
        <f>VLOOKUP(AI31,Düngemittel!$B$6:$E$64,4,FALSE)*AJ31</f>
        <v>0</v>
      </c>
      <c r="AN31" s="666"/>
      <c r="AO31" s="899"/>
      <c r="AP31" s="900" t="s">
        <v>805</v>
      </c>
      <c r="AQ31" s="978">
        <v>0</v>
      </c>
      <c r="AR31" s="751">
        <f>VLOOKUP(AP31,Düngemittel!$B$6:$E$64,2,FALSE)*(VLOOKUP(AP31,Düngemittel!$B$6:$E$64,3,FALSE))/100*AQ31</f>
        <v>0</v>
      </c>
      <c r="AS31" s="687">
        <f>VLOOKUP(AP31,Düngemittel!$B$6:$E$64,2,FALSE)*AQ31</f>
        <v>0</v>
      </c>
      <c r="AT31" s="687">
        <f>VLOOKUP(AP31,Düngemittel!$B$6:$E$64,4,FALSE)*AQ31</f>
        <v>0</v>
      </c>
      <c r="AU31" s="666"/>
      <c r="AV31" s="899"/>
      <c r="AW31" s="900" t="s">
        <v>805</v>
      </c>
      <c r="AX31" s="978">
        <v>0</v>
      </c>
      <c r="AY31" s="751">
        <f>VLOOKUP(AW31,Düngemittel!$B$6:$E$64,2,FALSE)*(VLOOKUP(AW31,Düngemittel!$B$6:$E$64,3,FALSE))/100*AX31</f>
        <v>0</v>
      </c>
      <c r="AZ31" s="687">
        <f>VLOOKUP(AW31,Düngemittel!$B$6:$E$64,2,FALSE)*AX31</f>
        <v>0</v>
      </c>
      <c r="BA31" s="687">
        <f>VLOOKUP(AW31,Düngemittel!$B$6:$E$64,4,FALSE)*AX31</f>
        <v>0</v>
      </c>
      <c r="BB31" s="666"/>
      <c r="BC31" s="853">
        <f t="shared" si="12"/>
        <v>0</v>
      </c>
      <c r="BD31" s="308">
        <f t="shared" si="13"/>
        <v>0</v>
      </c>
      <c r="BE31" s="853">
        <f t="shared" si="13"/>
        <v>0</v>
      </c>
      <c r="BF31" s="777">
        <f t="shared" si="14"/>
        <v>0</v>
      </c>
      <c r="BG31" s="308">
        <f t="shared" si="15"/>
        <v>0</v>
      </c>
      <c r="BH31" s="785"/>
      <c r="BI31" s="853">
        <f t="shared" si="16"/>
        <v>0</v>
      </c>
      <c r="BJ31" s="853">
        <f t="shared" si="17"/>
        <v>0</v>
      </c>
      <c r="BK31" s="853">
        <f t="shared" si="18"/>
        <v>0</v>
      </c>
      <c r="BL31" s="853">
        <f t="shared" si="19"/>
        <v>0</v>
      </c>
      <c r="BM31" s="853">
        <f t="shared" si="20"/>
        <v>0</v>
      </c>
      <c r="BN31" s="16"/>
      <c r="BO31" s="148"/>
      <c r="BQ31" s="732"/>
    </row>
    <row r="32" spans="1:76" ht="23.25" customHeight="1" thickBot="1" x14ac:dyDescent="0.3">
      <c r="A32" s="410" t="s">
        <v>292</v>
      </c>
      <c r="B32" s="772">
        <f>SUM(B8:B31)</f>
        <v>5</v>
      </c>
      <c r="C32" s="815" t="s">
        <v>1132</v>
      </c>
      <c r="D32" s="816"/>
      <c r="E32" s="817"/>
      <c r="F32" s="375"/>
      <c r="G32" s="375"/>
      <c r="H32" s="375"/>
      <c r="I32" s="375"/>
      <c r="J32" s="375"/>
      <c r="K32" s="375"/>
      <c r="L32" s="375"/>
      <c r="M32" s="385" t="s">
        <v>1037</v>
      </c>
      <c r="N32" s="380">
        <f>SUM(N8:N31)</f>
        <v>706</v>
      </c>
      <c r="O32" s="496"/>
      <c r="P32" s="380">
        <f>SUM(P8:P31)</f>
        <v>375</v>
      </c>
      <c r="Q32" s="47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24"/>
      <c r="BD32" s="60"/>
      <c r="BE32" s="60"/>
      <c r="BF32" s="224"/>
      <c r="BG32" s="60"/>
      <c r="BH32" s="272"/>
      <c r="BI32" s="308">
        <f>SUM(BI8:BI31)</f>
        <v>337.5</v>
      </c>
      <c r="BJ32" s="308">
        <f t="shared" ref="BJ32:BM32" si="30">SUM(BJ8:BJ31)</f>
        <v>553.5</v>
      </c>
      <c r="BK32" s="308">
        <f t="shared" si="30"/>
        <v>697.5</v>
      </c>
      <c r="BL32" s="308">
        <f t="shared" si="30"/>
        <v>360</v>
      </c>
      <c r="BM32" s="308">
        <f t="shared" si="30"/>
        <v>150</v>
      </c>
      <c r="BN32" s="782" t="s">
        <v>1097</v>
      </c>
      <c r="BR32" s="125"/>
    </row>
    <row r="33" spans="1:70" ht="24" customHeight="1" x14ac:dyDescent="0.25">
      <c r="A33" s="746"/>
      <c r="B33" s="773"/>
      <c r="D33" s="80"/>
      <c r="E33" s="112"/>
      <c r="M33" s="42"/>
      <c r="N33" s="1310" t="s">
        <v>1118</v>
      </c>
      <c r="P33" s="1310" t="s">
        <v>1119</v>
      </c>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462">
        <f>BI33</f>
        <v>67.5</v>
      </c>
      <c r="BD33" s="462">
        <f t="shared" ref="BD33:BG33" si="31">BJ33</f>
        <v>110.7</v>
      </c>
      <c r="BE33" s="462">
        <f t="shared" si="31"/>
        <v>139.5</v>
      </c>
      <c r="BF33" s="777">
        <f t="shared" si="31"/>
        <v>72</v>
      </c>
      <c r="BG33" s="462">
        <f t="shared" si="31"/>
        <v>30</v>
      </c>
      <c r="BH33" s="272"/>
      <c r="BI33" s="784">
        <f>BI32/$B32</f>
        <v>67.5</v>
      </c>
      <c r="BJ33" s="308">
        <f>BJ32/$B32</f>
        <v>110.7</v>
      </c>
      <c r="BK33" s="784">
        <f>BK32/$B32</f>
        <v>139.5</v>
      </c>
      <c r="BL33" s="777">
        <f>BL32/$B32</f>
        <v>72</v>
      </c>
      <c r="BM33" s="308">
        <f>BM32/$B32</f>
        <v>30</v>
      </c>
      <c r="BN33" s="782" t="s">
        <v>1076</v>
      </c>
      <c r="BR33" s="125"/>
    </row>
    <row r="34" spans="1:70" ht="54" customHeight="1" thickBot="1" x14ac:dyDescent="0.3">
      <c r="A34" s="519"/>
      <c r="B34" s="805"/>
      <c r="D34" s="80"/>
      <c r="E34" s="112"/>
      <c r="M34" s="272"/>
      <c r="N34" s="1311"/>
      <c r="P34" s="1311"/>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775" t="s">
        <v>1096</v>
      </c>
      <c r="BD34" s="312" t="s">
        <v>1082</v>
      </c>
      <c r="BE34" s="312" t="s">
        <v>1083</v>
      </c>
      <c r="BF34" s="699" t="s">
        <v>1268</v>
      </c>
      <c r="BG34" s="312" t="s">
        <v>290</v>
      </c>
      <c r="BH34" s="519"/>
      <c r="BI34" s="780" t="s">
        <v>1096</v>
      </c>
      <c r="BJ34" s="312" t="s">
        <v>1082</v>
      </c>
      <c r="BK34" s="781" t="s">
        <v>1098</v>
      </c>
      <c r="BL34" s="699" t="s">
        <v>1268</v>
      </c>
      <c r="BM34" s="312" t="s">
        <v>290</v>
      </c>
      <c r="BR34" s="125"/>
    </row>
    <row r="35" spans="1:70" ht="24" customHeight="1" x14ac:dyDescent="0.25">
      <c r="B35" s="112"/>
      <c r="D35" s="80"/>
      <c r="E35" s="112"/>
      <c r="J35" s="151"/>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722"/>
      <c r="BI35" s="722"/>
      <c r="BJ35" s="83"/>
      <c r="BK35" s="83"/>
      <c r="BL35" s="83"/>
      <c r="BM35" s="83"/>
      <c r="BR35" s="125"/>
    </row>
    <row r="36" spans="1:70" ht="24.75" customHeight="1" x14ac:dyDescent="0.25">
      <c r="A36" s="1384" t="s">
        <v>1084</v>
      </c>
      <c r="B36" s="1385"/>
      <c r="C36" s="1387" t="s">
        <v>1088</v>
      </c>
      <c r="D36" s="1388"/>
      <c r="E36" s="1388"/>
      <c r="F36" s="1388"/>
      <c r="G36" s="1388"/>
      <c r="H36" s="1388"/>
      <c r="I36" s="1388"/>
      <c r="J36" s="1388"/>
      <c r="K36" s="1388"/>
      <c r="L36" s="1379"/>
      <c r="M36" s="1379"/>
      <c r="N36" s="1379"/>
      <c r="O36" s="1331"/>
      <c r="P36" s="1332"/>
      <c r="Q36" s="47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357"/>
      <c r="BR36" s="130"/>
    </row>
    <row r="37" spans="1:70" ht="32.25" customHeight="1" x14ac:dyDescent="0.25">
      <c r="A37" s="1385"/>
      <c r="B37" s="1385"/>
      <c r="C37" s="1389"/>
      <c r="D37" s="1390"/>
      <c r="E37" s="1390"/>
      <c r="F37" s="1390"/>
      <c r="G37" s="1390"/>
      <c r="H37" s="1390"/>
      <c r="I37" s="1390"/>
      <c r="J37" s="1390"/>
      <c r="K37" s="1390"/>
      <c r="L37" s="1293"/>
      <c r="M37" s="1293"/>
      <c r="N37" s="1293"/>
      <c r="O37" s="1336"/>
      <c r="P37" s="1337"/>
      <c r="Q37" s="476"/>
      <c r="R37" s="476"/>
      <c r="S37" s="476"/>
      <c r="T37" s="476"/>
      <c r="U37" s="476"/>
      <c r="V37" s="476"/>
      <c r="W37" s="476"/>
      <c r="X37" s="476"/>
      <c r="Y37" s="476"/>
      <c r="Z37" s="476"/>
      <c r="AA37" s="476"/>
      <c r="AB37" s="476"/>
      <c r="AC37" s="476"/>
      <c r="AD37" s="476"/>
      <c r="AE37" s="476"/>
      <c r="AF37" s="476"/>
      <c r="AG37" s="476"/>
      <c r="AH37" s="476"/>
      <c r="AI37" s="476"/>
      <c r="AJ37" s="476"/>
      <c r="AK37" s="476"/>
      <c r="AL37" s="476"/>
      <c r="AM37" s="476"/>
      <c r="AN37" s="476"/>
      <c r="AO37" s="476"/>
      <c r="AP37" s="476"/>
      <c r="AQ37" s="476"/>
      <c r="AR37" s="476"/>
      <c r="AS37" s="476"/>
      <c r="AT37" s="476"/>
      <c r="AU37" s="476"/>
      <c r="AV37" s="476"/>
      <c r="AW37" s="476"/>
      <c r="AX37" s="476"/>
      <c r="AY37" s="476"/>
      <c r="AZ37" s="476"/>
      <c r="BA37" s="476"/>
      <c r="BB37" s="476"/>
      <c r="BC37" s="476"/>
      <c r="BD37" s="476"/>
      <c r="BE37" s="476"/>
      <c r="BF37" s="476"/>
      <c r="BG37" s="476"/>
      <c r="BH37" s="476"/>
      <c r="BI37" s="476"/>
      <c r="BJ37" s="476"/>
      <c r="BK37" s="476"/>
      <c r="BL37" s="476"/>
      <c r="BM37" s="476"/>
      <c r="BO37" s="17"/>
      <c r="BR37" s="130"/>
    </row>
    <row r="38" spans="1:70" ht="30.75" customHeight="1" x14ac:dyDescent="0.25">
      <c r="A38" s="1386"/>
      <c r="B38" s="1386"/>
      <c r="C38" s="1391"/>
      <c r="D38" s="1341"/>
      <c r="E38" s="1341"/>
      <c r="F38" s="1341"/>
      <c r="G38" s="1341"/>
      <c r="H38" s="1341"/>
      <c r="I38" s="1341"/>
      <c r="J38" s="1341"/>
      <c r="K38" s="1341"/>
      <c r="L38" s="1341"/>
      <c r="M38" s="1341"/>
      <c r="N38" s="1341"/>
      <c r="O38" s="1341"/>
      <c r="P38" s="1342"/>
      <c r="Q38" s="476"/>
      <c r="BO38" s="356"/>
      <c r="BP38" s="400"/>
    </row>
    <row r="39" spans="1:70" ht="30.75" customHeight="1" x14ac:dyDescent="0.25">
      <c r="B39" s="112"/>
      <c r="D39" s="80"/>
      <c r="E39" s="112"/>
      <c r="J39" s="151"/>
      <c r="Q39" s="726"/>
      <c r="R39" s="725"/>
      <c r="S39" s="725"/>
      <c r="T39" s="725"/>
      <c r="U39" s="725"/>
      <c r="V39" s="725"/>
      <c r="W39" s="725"/>
      <c r="X39" s="725"/>
      <c r="Y39" s="725"/>
      <c r="Z39" s="725"/>
      <c r="AA39" s="725"/>
      <c r="AB39" s="725"/>
      <c r="AC39" s="725"/>
      <c r="AD39" s="725"/>
      <c r="AE39" s="725"/>
      <c r="AF39" s="725"/>
      <c r="AG39" s="725"/>
      <c r="AH39" s="725"/>
      <c r="AI39" s="725"/>
      <c r="AJ39" s="725"/>
      <c r="AK39" s="725"/>
      <c r="AL39" s="725"/>
      <c r="AM39" s="725"/>
      <c r="AN39" s="725"/>
      <c r="AO39" s="725"/>
      <c r="AP39" s="725"/>
      <c r="AQ39" s="725"/>
      <c r="AR39" s="725"/>
      <c r="AS39" s="725"/>
      <c r="AT39" s="725"/>
      <c r="AU39" s="725"/>
      <c r="AV39" s="725"/>
      <c r="AW39" s="725"/>
      <c r="AX39" s="725"/>
      <c r="AY39" s="725"/>
      <c r="AZ39" s="725"/>
      <c r="BA39" s="725"/>
      <c r="BB39" s="725"/>
      <c r="BC39" s="725"/>
      <c r="BD39" s="725"/>
      <c r="BE39" s="725"/>
      <c r="BF39" s="725"/>
      <c r="BG39" s="725"/>
      <c r="BH39" s="725"/>
      <c r="BI39" s="725"/>
      <c r="BJ39" s="725"/>
      <c r="BK39" s="725"/>
      <c r="BL39" s="725"/>
      <c r="BM39" s="725"/>
      <c r="BO39" s="400"/>
      <c r="BP39" s="400"/>
    </row>
    <row r="40" spans="1:70" ht="19.5" customHeight="1" x14ac:dyDescent="0.25">
      <c r="A40" s="1320" t="s">
        <v>617</v>
      </c>
      <c r="B40" s="1321"/>
      <c r="C40" s="1347" t="s">
        <v>1089</v>
      </c>
      <c r="D40" s="1281"/>
      <c r="E40" s="1281"/>
      <c r="F40" s="1281"/>
      <c r="G40" s="1281"/>
      <c r="H40" s="1281"/>
      <c r="I40" s="1281"/>
      <c r="J40" s="1281"/>
      <c r="K40" s="1281"/>
      <c r="L40" s="1281"/>
      <c r="M40" s="1281"/>
      <c r="N40" s="1281"/>
      <c r="O40" s="1348"/>
      <c r="P40" s="1348"/>
      <c r="Q40" s="357"/>
      <c r="R40" s="476"/>
      <c r="S40" s="476"/>
      <c r="T40" s="476"/>
      <c r="U40" s="476"/>
      <c r="V40" s="476"/>
      <c r="W40" s="476"/>
      <c r="X40" s="476"/>
      <c r="Y40" s="476"/>
      <c r="Z40" s="476"/>
      <c r="AA40" s="476"/>
      <c r="AB40" s="476"/>
      <c r="AC40" s="476"/>
      <c r="AD40" s="476"/>
      <c r="AE40" s="476"/>
      <c r="AF40" s="476"/>
      <c r="AG40" s="476"/>
      <c r="AH40" s="476"/>
      <c r="AI40" s="476"/>
      <c r="AJ40" s="476"/>
      <c r="AK40" s="476"/>
      <c r="AL40" s="476"/>
      <c r="AM40" s="476"/>
      <c r="AN40" s="476"/>
      <c r="AO40" s="476"/>
      <c r="AP40" s="476"/>
      <c r="AQ40" s="476"/>
      <c r="AR40" s="476"/>
      <c r="AS40" s="476"/>
      <c r="AT40" s="476"/>
      <c r="AU40" s="476"/>
      <c r="AV40" s="476"/>
      <c r="AW40" s="476"/>
      <c r="AX40" s="476"/>
      <c r="AY40" s="476"/>
      <c r="AZ40" s="476"/>
      <c r="BA40" s="476"/>
      <c r="BB40" s="476"/>
      <c r="BC40" s="476"/>
      <c r="BD40" s="476"/>
      <c r="BE40" s="476"/>
      <c r="BF40" s="476"/>
      <c r="BG40" s="476"/>
      <c r="BH40" s="476"/>
      <c r="BI40" s="476"/>
      <c r="BJ40" s="476"/>
      <c r="BK40" s="476"/>
      <c r="BL40" s="476"/>
      <c r="BM40" s="476"/>
      <c r="BO40" s="400"/>
      <c r="BP40" s="400"/>
    </row>
    <row r="41" spans="1:70" ht="15.75" customHeight="1" x14ac:dyDescent="0.25">
      <c r="A41" s="1322"/>
      <c r="B41" s="1323"/>
      <c r="C41" s="1281"/>
      <c r="D41" s="1281"/>
      <c r="E41" s="1281"/>
      <c r="F41" s="1281"/>
      <c r="G41" s="1281"/>
      <c r="H41" s="1281"/>
      <c r="I41" s="1281"/>
      <c r="J41" s="1281"/>
      <c r="K41" s="1281"/>
      <c r="L41" s="1281"/>
      <c r="M41" s="1281"/>
      <c r="N41" s="1281"/>
      <c r="O41" s="1348"/>
      <c r="P41" s="1348"/>
      <c r="R41" s="476"/>
      <c r="S41" s="476"/>
      <c r="T41" s="476"/>
      <c r="U41" s="476"/>
      <c r="V41" s="476"/>
      <c r="W41" s="476"/>
      <c r="X41" s="476"/>
      <c r="Y41" s="476"/>
      <c r="Z41" s="476"/>
      <c r="AA41" s="476"/>
      <c r="AB41" s="476"/>
      <c r="AC41" s="476"/>
      <c r="AD41" s="476"/>
      <c r="AE41" s="476"/>
      <c r="AF41" s="476"/>
      <c r="AG41" s="476"/>
      <c r="AH41" s="476"/>
      <c r="AI41" s="476"/>
      <c r="AJ41" s="476"/>
      <c r="AK41" s="476"/>
      <c r="AL41" s="476"/>
      <c r="AM41" s="476"/>
      <c r="AN41" s="476"/>
      <c r="AO41" s="476"/>
      <c r="AP41" s="476"/>
      <c r="AQ41" s="476"/>
      <c r="AR41" s="476"/>
      <c r="AS41" s="476"/>
      <c r="AT41" s="476"/>
      <c r="AU41" s="476"/>
      <c r="AV41" s="476"/>
      <c r="AW41" s="476"/>
      <c r="AX41" s="476"/>
      <c r="AY41" s="476"/>
      <c r="AZ41" s="476"/>
      <c r="BA41" s="476"/>
      <c r="BB41" s="476"/>
      <c r="BC41" s="476"/>
      <c r="BD41" s="476"/>
      <c r="BE41" s="476"/>
      <c r="BF41" s="476"/>
      <c r="BG41" s="476"/>
      <c r="BH41" s="476"/>
      <c r="BI41" s="476"/>
      <c r="BJ41" s="476"/>
      <c r="BK41" s="476"/>
      <c r="BL41" s="476"/>
      <c r="BM41" s="476"/>
      <c r="BO41" s="400"/>
      <c r="BP41" s="400"/>
      <c r="BR41" s="125"/>
    </row>
    <row r="42" spans="1:70" ht="15.75" customHeight="1" x14ac:dyDescent="0.25">
      <c r="A42" s="1343"/>
      <c r="B42" s="1344"/>
      <c r="C42" s="1281"/>
      <c r="D42" s="1281"/>
      <c r="E42" s="1281"/>
      <c r="F42" s="1281"/>
      <c r="G42" s="1281"/>
      <c r="H42" s="1281"/>
      <c r="I42" s="1281"/>
      <c r="J42" s="1281"/>
      <c r="K42" s="1281"/>
      <c r="L42" s="1281"/>
      <c r="M42" s="1281"/>
      <c r="N42" s="1281"/>
      <c r="O42" s="1348"/>
      <c r="P42" s="1348"/>
      <c r="R42" s="476"/>
      <c r="S42" s="476"/>
      <c r="T42" s="476"/>
      <c r="U42" s="476"/>
      <c r="V42" s="476"/>
      <c r="W42" s="476"/>
      <c r="X42" s="476"/>
      <c r="Y42" s="476"/>
      <c r="Z42" s="476"/>
      <c r="AA42" s="476"/>
      <c r="AB42" s="476"/>
      <c r="AC42" s="476"/>
      <c r="AD42" s="476"/>
      <c r="AE42" s="476"/>
      <c r="AF42" s="476"/>
      <c r="AG42" s="476"/>
      <c r="AH42" s="476"/>
      <c r="AI42" s="476"/>
      <c r="AJ42" s="476"/>
      <c r="AK42" s="476"/>
      <c r="AL42" s="476"/>
      <c r="AM42" s="476"/>
      <c r="AN42" s="476"/>
      <c r="AO42" s="476"/>
      <c r="AP42" s="476"/>
      <c r="AQ42" s="476"/>
      <c r="AR42" s="476"/>
      <c r="AS42" s="476"/>
      <c r="AT42" s="476"/>
      <c r="AU42" s="476"/>
      <c r="AV42" s="476"/>
      <c r="AW42" s="476"/>
      <c r="AX42" s="476"/>
      <c r="AY42" s="476"/>
      <c r="AZ42" s="476"/>
      <c r="BA42" s="476"/>
      <c r="BB42" s="476"/>
      <c r="BC42" s="476"/>
      <c r="BD42" s="476"/>
      <c r="BE42" s="476"/>
      <c r="BF42" s="476"/>
      <c r="BG42" s="476"/>
      <c r="BH42" s="476"/>
      <c r="BI42" s="476"/>
      <c r="BJ42" s="476"/>
      <c r="BK42" s="476"/>
      <c r="BL42" s="476"/>
      <c r="BM42" s="476"/>
      <c r="BR42" s="125"/>
    </row>
    <row r="43" spans="1:70" ht="15.75" customHeight="1" x14ac:dyDescent="0.25">
      <c r="A43" s="1345"/>
      <c r="B43" s="1346"/>
      <c r="C43" s="1347" t="s">
        <v>594</v>
      </c>
      <c r="D43" s="1281"/>
      <c r="E43" s="1281"/>
      <c r="F43" s="1281"/>
      <c r="G43" s="1281"/>
      <c r="H43" s="1281"/>
      <c r="I43" s="1281"/>
      <c r="J43" s="1281"/>
      <c r="K43" s="1281"/>
      <c r="L43" s="1281"/>
      <c r="M43" s="1348"/>
      <c r="N43" s="1348"/>
      <c r="O43" s="1348"/>
      <c r="P43" s="1348"/>
      <c r="R43" s="726"/>
      <c r="S43" s="726"/>
      <c r="T43" s="726"/>
      <c r="U43" s="726"/>
      <c r="V43" s="726"/>
      <c r="W43" s="726"/>
      <c r="X43" s="726"/>
      <c r="Y43" s="726"/>
      <c r="Z43" s="726"/>
      <c r="AA43" s="726"/>
      <c r="AB43" s="726"/>
      <c r="AC43" s="726"/>
      <c r="AD43" s="726"/>
      <c r="AE43" s="726"/>
      <c r="AF43" s="726"/>
      <c r="AG43" s="726"/>
      <c r="AH43" s="726"/>
      <c r="AI43" s="726"/>
      <c r="AJ43" s="726"/>
      <c r="AK43" s="726"/>
      <c r="AL43" s="726"/>
      <c r="AM43" s="726"/>
      <c r="AN43" s="726"/>
      <c r="AO43" s="726"/>
      <c r="AP43" s="726"/>
      <c r="AQ43" s="726"/>
      <c r="AR43" s="726"/>
      <c r="AS43" s="726"/>
      <c r="AT43" s="726"/>
      <c r="AU43" s="726"/>
      <c r="AV43" s="726"/>
      <c r="AW43" s="726"/>
      <c r="AX43" s="726"/>
      <c r="AY43" s="726"/>
      <c r="AZ43" s="726"/>
      <c r="BA43" s="726"/>
      <c r="BB43" s="726"/>
      <c r="BC43" s="726"/>
      <c r="BD43" s="726"/>
      <c r="BE43" s="726"/>
      <c r="BF43" s="726"/>
      <c r="BG43" s="726"/>
      <c r="BH43" s="726"/>
      <c r="BI43" s="726"/>
      <c r="BJ43" s="726"/>
      <c r="BK43" s="726"/>
      <c r="BL43" s="726"/>
      <c r="BM43" s="726"/>
      <c r="BR43" s="125"/>
    </row>
    <row r="44" spans="1:70" ht="24.75" customHeight="1" x14ac:dyDescent="0.25">
      <c r="R44" s="357"/>
      <c r="S44" s="357"/>
      <c r="T44" s="357"/>
      <c r="U44" s="357"/>
      <c r="V44" s="357"/>
      <c r="W44" s="357"/>
      <c r="X44" s="357"/>
      <c r="Y44" s="357"/>
      <c r="Z44" s="357"/>
      <c r="AA44" s="357"/>
      <c r="AB44" s="357"/>
      <c r="AC44" s="357"/>
      <c r="AD44" s="357"/>
      <c r="AE44" s="357"/>
      <c r="AF44" s="357"/>
      <c r="AG44" s="357"/>
      <c r="AH44" s="357"/>
      <c r="AI44" s="357"/>
      <c r="AJ44" s="357"/>
      <c r="AK44" s="357"/>
      <c r="AL44" s="357"/>
      <c r="AM44" s="357"/>
      <c r="AN44" s="357"/>
      <c r="AO44" s="357"/>
      <c r="AP44" s="357"/>
      <c r="AQ44" s="357"/>
      <c r="AR44" s="357"/>
      <c r="AS44" s="357"/>
      <c r="AT44" s="357"/>
      <c r="AU44" s="357"/>
      <c r="AV44" s="357"/>
      <c r="AW44" s="357"/>
      <c r="AX44" s="357"/>
      <c r="AY44" s="357"/>
      <c r="AZ44" s="357"/>
      <c r="BA44" s="357"/>
      <c r="BB44" s="357"/>
      <c r="BC44" s="357"/>
      <c r="BD44" s="357"/>
      <c r="BE44" s="357"/>
      <c r="BF44" s="357"/>
      <c r="BG44" s="357"/>
      <c r="BH44" s="357"/>
      <c r="BI44" s="357"/>
      <c r="BJ44" s="357"/>
      <c r="BK44" s="357"/>
      <c r="BL44" s="357"/>
      <c r="BM44" s="357"/>
      <c r="BR44" s="125"/>
    </row>
    <row r="45" spans="1:70" ht="24.75" customHeight="1" x14ac:dyDescent="0.25">
      <c r="BR45" s="125"/>
    </row>
    <row r="46" spans="1:70" ht="24.75" customHeight="1" x14ac:dyDescent="0.25">
      <c r="Q46" s="124"/>
      <c r="BR46" s="125"/>
    </row>
    <row r="47" spans="1:70" ht="24" customHeight="1" x14ac:dyDescent="0.25">
      <c r="O47" s="122"/>
      <c r="Q47" s="124"/>
    </row>
    <row r="48" spans="1:70" ht="10.5" customHeight="1" x14ac:dyDescent="0.25">
      <c r="O48" s="122"/>
      <c r="Q48" s="124"/>
      <c r="T48" s="147"/>
      <c r="U48" s="147"/>
    </row>
    <row r="49" spans="17:67" ht="32.25" customHeight="1" x14ac:dyDescent="0.25">
      <c r="Q49" s="124"/>
      <c r="T49" s="214"/>
      <c r="U49" s="214"/>
      <c r="V49" s="214"/>
      <c r="W49" s="214"/>
      <c r="X49" s="214"/>
      <c r="Y49" s="214"/>
      <c r="Z49" s="214"/>
      <c r="AA49" s="214"/>
      <c r="AB49" s="214"/>
      <c r="AC49" s="214"/>
      <c r="AD49" s="214"/>
      <c r="AE49" s="214"/>
      <c r="AF49" s="214"/>
      <c r="AG49" s="214"/>
      <c r="AH49" s="214"/>
      <c r="AI49" s="214"/>
      <c r="AJ49" s="214"/>
      <c r="AK49" s="214"/>
      <c r="AL49" s="214"/>
      <c r="AM49" s="214"/>
      <c r="AN49" s="214"/>
      <c r="AO49" s="214"/>
      <c r="AP49" s="214"/>
      <c r="AQ49" s="214"/>
      <c r="AR49" s="214"/>
      <c r="AS49" s="214"/>
      <c r="AT49" s="214"/>
      <c r="AU49" s="214"/>
      <c r="AV49" s="214"/>
      <c r="AW49" s="214"/>
      <c r="AX49" s="214"/>
      <c r="AY49" s="214"/>
      <c r="AZ49" s="214"/>
      <c r="BA49" s="214"/>
      <c r="BB49" s="214"/>
      <c r="BC49" s="214"/>
      <c r="BD49" s="214"/>
      <c r="BE49" s="214"/>
      <c r="BF49" s="214"/>
      <c r="BG49" s="214"/>
      <c r="BH49" s="214"/>
      <c r="BI49" s="214"/>
      <c r="BJ49" s="214"/>
      <c r="BK49" s="214"/>
      <c r="BL49" s="214"/>
      <c r="BM49" s="214"/>
      <c r="BN49" s="214"/>
      <c r="BO49" s="214"/>
    </row>
    <row r="50" spans="17:67" ht="32.25" customHeight="1" x14ac:dyDescent="0.25">
      <c r="R50" s="124"/>
      <c r="S50" s="124"/>
      <c r="T50" s="214"/>
      <c r="U50" s="214"/>
      <c r="V50" s="214"/>
      <c r="W50" s="214"/>
      <c r="X50" s="214"/>
      <c r="Y50" s="214"/>
      <c r="Z50" s="214"/>
      <c r="AA50" s="214"/>
      <c r="AB50" s="214"/>
      <c r="AC50" s="214"/>
      <c r="AD50" s="214"/>
      <c r="AE50" s="214"/>
      <c r="AF50" s="214"/>
      <c r="AG50" s="214"/>
      <c r="AH50" s="214"/>
      <c r="AI50" s="214"/>
      <c r="AJ50" s="214"/>
      <c r="AK50" s="214"/>
      <c r="AL50" s="214"/>
      <c r="AM50" s="214"/>
      <c r="AN50" s="214"/>
      <c r="AO50" s="214"/>
      <c r="AP50" s="214"/>
      <c r="AQ50" s="214"/>
      <c r="AR50" s="214"/>
      <c r="AS50" s="214"/>
      <c r="AT50" s="214"/>
      <c r="AU50" s="214"/>
      <c r="AV50" s="214"/>
      <c r="AW50" s="214"/>
      <c r="AX50" s="214"/>
      <c r="AY50" s="214"/>
      <c r="AZ50" s="214"/>
      <c r="BA50" s="214"/>
      <c r="BB50" s="214"/>
      <c r="BC50" s="214"/>
      <c r="BD50" s="214"/>
      <c r="BE50" s="214"/>
      <c r="BF50" s="214"/>
      <c r="BG50" s="214"/>
      <c r="BH50" s="214"/>
      <c r="BI50" s="214"/>
      <c r="BJ50" s="214"/>
      <c r="BK50" s="214"/>
      <c r="BL50" s="214"/>
      <c r="BM50" s="214"/>
      <c r="BN50" s="214"/>
      <c r="BO50" s="214"/>
    </row>
    <row r="51" spans="17:67" ht="15.75" x14ac:dyDescent="0.25">
      <c r="R51" s="124"/>
      <c r="S51" s="124"/>
    </row>
    <row r="52" spans="17:67" ht="19.5" customHeight="1" x14ac:dyDescent="0.25">
      <c r="R52" s="124"/>
      <c r="S52" s="124"/>
      <c r="T52" s="665"/>
      <c r="U52" s="665"/>
      <c r="V52" s="124"/>
      <c r="W52" s="1382"/>
      <c r="X52" s="1336"/>
      <c r="Y52" s="240"/>
      <c r="Z52" s="240"/>
      <c r="AA52" s="240"/>
      <c r="AB52" s="240"/>
      <c r="AC52" s="240"/>
      <c r="AD52" s="240"/>
      <c r="AE52" s="240"/>
      <c r="AF52" s="240"/>
      <c r="AG52" s="240"/>
      <c r="AH52" s="240"/>
      <c r="AI52" s="240"/>
      <c r="AJ52" s="240"/>
      <c r="AK52" s="240"/>
      <c r="AL52" s="240"/>
      <c r="AM52" s="240"/>
      <c r="AN52" s="240"/>
      <c r="AO52" s="240"/>
      <c r="AP52" s="240"/>
      <c r="AQ52" s="240"/>
      <c r="AR52" s="240"/>
      <c r="AS52" s="240"/>
      <c r="AT52" s="240"/>
      <c r="AU52" s="240"/>
      <c r="AV52" s="240"/>
      <c r="AW52" s="240"/>
      <c r="AX52" s="240"/>
      <c r="AY52" s="240"/>
      <c r="AZ52" s="240"/>
      <c r="BA52" s="240"/>
      <c r="BB52" s="240"/>
      <c r="BC52" s="240"/>
      <c r="BD52" s="240"/>
      <c r="BE52" s="240"/>
      <c r="BF52" s="240"/>
      <c r="BG52" s="240"/>
      <c r="BH52" s="240"/>
      <c r="BI52" s="240"/>
      <c r="BJ52" s="240"/>
      <c r="BK52" s="240"/>
      <c r="BL52" s="240"/>
      <c r="BM52" s="240"/>
      <c r="BN52" s="240"/>
    </row>
    <row r="53" spans="17:67" ht="15.75" x14ac:dyDescent="0.25">
      <c r="R53" s="124"/>
      <c r="S53" s="124"/>
      <c r="T53" s="665"/>
      <c r="U53" s="665"/>
      <c r="V53" s="124"/>
      <c r="W53" s="519"/>
      <c r="X53" s="519"/>
      <c r="Y53" s="701"/>
      <c r="Z53" s="701"/>
      <c r="AA53" s="701"/>
      <c r="AB53" s="701"/>
      <c r="AC53" s="701"/>
      <c r="AD53" s="701"/>
      <c r="AE53" s="701"/>
      <c r="AF53" s="701"/>
      <c r="AG53" s="701"/>
      <c r="AH53" s="701"/>
      <c r="AI53" s="701"/>
      <c r="AJ53" s="701"/>
      <c r="AK53" s="701"/>
      <c r="AL53" s="701"/>
      <c r="AM53" s="701"/>
      <c r="AN53" s="701"/>
      <c r="AO53" s="701"/>
      <c r="AP53" s="701"/>
      <c r="AQ53" s="701"/>
      <c r="AR53" s="701"/>
      <c r="AS53" s="701"/>
      <c r="AT53" s="701"/>
      <c r="AU53" s="701"/>
      <c r="AV53" s="701"/>
      <c r="AW53" s="701"/>
      <c r="AX53" s="701"/>
      <c r="AY53" s="701"/>
      <c r="AZ53" s="701"/>
      <c r="BA53" s="701"/>
      <c r="BB53" s="701"/>
      <c r="BC53" s="701"/>
      <c r="BD53" s="701"/>
      <c r="BE53" s="701"/>
      <c r="BF53" s="701"/>
      <c r="BG53" s="701"/>
      <c r="BH53" s="701"/>
      <c r="BI53" s="701"/>
      <c r="BJ53" s="701"/>
      <c r="BK53" s="701"/>
      <c r="BL53" s="701"/>
      <c r="BM53" s="701"/>
      <c r="BN53" s="701"/>
    </row>
    <row r="54" spans="17:67" ht="15.75" x14ac:dyDescent="0.25">
      <c r="T54" s="166"/>
      <c r="U54" s="166"/>
      <c r="V54" s="124"/>
      <c r="W54" s="123"/>
      <c r="X54" s="123"/>
      <c r="Y54" s="129"/>
      <c r="Z54" s="129"/>
      <c r="AA54" s="129"/>
      <c r="AB54" s="129"/>
      <c r="AC54" s="129"/>
      <c r="AD54" s="129"/>
      <c r="AE54" s="129"/>
      <c r="AF54" s="129"/>
      <c r="AG54" s="129"/>
      <c r="AH54" s="129"/>
      <c r="AI54" s="129"/>
      <c r="AJ54" s="129"/>
      <c r="AK54" s="129"/>
      <c r="AL54" s="129"/>
      <c r="AM54" s="129"/>
      <c r="AN54" s="129"/>
      <c r="AO54" s="129"/>
      <c r="AP54" s="129"/>
      <c r="AQ54" s="129"/>
      <c r="AR54" s="129"/>
      <c r="AS54" s="129"/>
      <c r="AT54" s="129"/>
      <c r="AU54" s="129"/>
      <c r="AV54" s="129"/>
      <c r="AW54" s="129"/>
      <c r="AX54" s="129"/>
      <c r="AY54" s="129"/>
      <c r="AZ54" s="129"/>
      <c r="BA54" s="129"/>
      <c r="BB54" s="129"/>
      <c r="BC54" s="129"/>
      <c r="BD54" s="129"/>
      <c r="BE54" s="129"/>
      <c r="BF54" s="129"/>
      <c r="BG54" s="129"/>
      <c r="BH54" s="129"/>
      <c r="BI54" s="129"/>
      <c r="BJ54" s="129"/>
      <c r="BK54" s="129"/>
      <c r="BL54" s="129"/>
      <c r="BM54" s="129"/>
      <c r="BN54" s="129"/>
    </row>
    <row r="55" spans="17:67" ht="15.75" x14ac:dyDescent="0.25">
      <c r="T55" s="166"/>
      <c r="U55" s="166"/>
      <c r="V55" s="124"/>
      <c r="W55" s="123"/>
      <c r="X55" s="123"/>
      <c r="Y55" s="129"/>
      <c r="Z55" s="129"/>
      <c r="AA55" s="129"/>
      <c r="AB55" s="129"/>
      <c r="AC55" s="129"/>
      <c r="AD55" s="129"/>
      <c r="AE55" s="129"/>
      <c r="AF55" s="129"/>
      <c r="AG55" s="129"/>
      <c r="AH55" s="129"/>
      <c r="AI55" s="129"/>
      <c r="AJ55" s="129"/>
      <c r="AK55" s="129"/>
      <c r="AL55" s="129"/>
      <c r="AM55" s="129"/>
      <c r="AN55" s="129"/>
      <c r="AO55" s="129"/>
      <c r="AP55" s="129"/>
      <c r="AQ55" s="129"/>
      <c r="AR55" s="129"/>
      <c r="AS55" s="129"/>
      <c r="AT55" s="129"/>
      <c r="AU55" s="129"/>
      <c r="AV55" s="129"/>
      <c r="AW55" s="129"/>
      <c r="AX55" s="129"/>
      <c r="AY55" s="129"/>
      <c r="AZ55" s="129"/>
      <c r="BA55" s="129"/>
      <c r="BB55" s="129"/>
      <c r="BC55" s="129"/>
      <c r="BD55" s="129"/>
      <c r="BE55" s="129"/>
      <c r="BF55" s="129"/>
      <c r="BG55" s="129"/>
      <c r="BH55" s="129"/>
      <c r="BI55" s="129"/>
      <c r="BJ55" s="129"/>
      <c r="BK55" s="129"/>
      <c r="BL55" s="129"/>
      <c r="BM55" s="129"/>
      <c r="BN55" s="129"/>
    </row>
    <row r="56" spans="17:67" ht="15.75" x14ac:dyDescent="0.25">
      <c r="T56" s="166"/>
      <c r="U56" s="166"/>
      <c r="V56" s="124"/>
      <c r="W56" s="123"/>
      <c r="X56" s="123"/>
      <c r="Y56" s="129"/>
      <c r="Z56" s="129"/>
      <c r="AA56" s="129"/>
      <c r="AB56" s="129"/>
      <c r="AC56" s="129"/>
      <c r="AD56" s="129"/>
      <c r="AE56" s="129"/>
      <c r="AF56" s="129"/>
      <c r="AG56" s="129"/>
      <c r="AH56" s="129"/>
      <c r="AI56" s="129"/>
      <c r="AJ56" s="129"/>
      <c r="AK56" s="129"/>
      <c r="AL56" s="129"/>
      <c r="AM56" s="129"/>
      <c r="AN56" s="129"/>
      <c r="AO56" s="129"/>
      <c r="AP56" s="129"/>
      <c r="AQ56" s="129"/>
      <c r="AR56" s="129"/>
      <c r="AS56" s="129"/>
      <c r="AT56" s="129"/>
      <c r="AU56" s="129"/>
      <c r="AV56" s="129"/>
      <c r="AW56" s="129"/>
      <c r="AX56" s="129"/>
      <c r="AY56" s="129"/>
      <c r="AZ56" s="129"/>
      <c r="BA56" s="129"/>
      <c r="BB56" s="129"/>
      <c r="BC56" s="129"/>
      <c r="BD56" s="129"/>
      <c r="BE56" s="129"/>
      <c r="BF56" s="129"/>
      <c r="BG56" s="129"/>
      <c r="BH56" s="129"/>
      <c r="BI56" s="129"/>
      <c r="BJ56" s="129"/>
      <c r="BK56" s="129"/>
      <c r="BL56" s="129"/>
      <c r="BM56" s="129"/>
      <c r="BN56" s="129"/>
    </row>
    <row r="57" spans="17:67" ht="15.75" x14ac:dyDescent="0.25">
      <c r="T57" s="166"/>
      <c r="U57" s="166"/>
      <c r="V57" s="124"/>
      <c r="W57" s="123"/>
      <c r="X57" s="123"/>
      <c r="Y57" s="129"/>
      <c r="Z57" s="129"/>
      <c r="AA57" s="129"/>
      <c r="AB57" s="129"/>
      <c r="AC57" s="129"/>
      <c r="AD57" s="129"/>
      <c r="AE57" s="129"/>
      <c r="AF57" s="129"/>
      <c r="AG57" s="129"/>
      <c r="AH57" s="129"/>
      <c r="AI57" s="129"/>
      <c r="AJ57" s="129"/>
      <c r="AK57" s="129"/>
      <c r="AL57" s="129"/>
      <c r="AM57" s="129"/>
      <c r="AN57" s="129"/>
      <c r="AO57" s="129"/>
      <c r="AP57" s="129"/>
      <c r="AQ57" s="129"/>
      <c r="AR57" s="129"/>
      <c r="AS57" s="129"/>
      <c r="AT57" s="129"/>
      <c r="AU57" s="129"/>
      <c r="AV57" s="129"/>
      <c r="AW57" s="129"/>
      <c r="AX57" s="129"/>
      <c r="AY57" s="129"/>
      <c r="AZ57" s="129"/>
      <c r="BA57" s="129"/>
      <c r="BB57" s="129"/>
      <c r="BC57" s="129"/>
      <c r="BD57" s="129"/>
      <c r="BE57" s="129"/>
      <c r="BF57" s="129"/>
      <c r="BG57" s="129"/>
      <c r="BH57" s="129"/>
      <c r="BI57" s="129"/>
      <c r="BJ57" s="129"/>
      <c r="BK57" s="129"/>
      <c r="BL57" s="129"/>
      <c r="BM57" s="129"/>
      <c r="BN57" s="129"/>
    </row>
    <row r="58" spans="17:67" ht="15.75" x14ac:dyDescent="0.25">
      <c r="T58" s="166"/>
      <c r="U58" s="166"/>
      <c r="V58" s="124"/>
      <c r="W58" s="123"/>
      <c r="X58" s="123"/>
      <c r="Y58" s="129"/>
      <c r="Z58" s="129"/>
      <c r="AA58" s="129"/>
      <c r="AB58" s="129"/>
      <c r="AC58" s="129"/>
      <c r="AD58" s="129"/>
      <c r="AE58" s="129"/>
      <c r="AF58" s="129"/>
      <c r="AG58" s="129"/>
      <c r="AH58" s="129"/>
      <c r="AI58" s="129"/>
      <c r="AJ58" s="129"/>
      <c r="AK58" s="129"/>
      <c r="AL58" s="129"/>
      <c r="AM58" s="129"/>
      <c r="AN58" s="129"/>
      <c r="AO58" s="129"/>
      <c r="AP58" s="129"/>
      <c r="AQ58" s="129"/>
      <c r="AR58" s="129"/>
      <c r="AS58" s="129"/>
      <c r="AT58" s="129"/>
      <c r="AU58" s="129"/>
      <c r="AV58" s="129"/>
      <c r="AW58" s="129"/>
      <c r="AX58" s="129"/>
      <c r="AY58" s="129"/>
      <c r="AZ58" s="129"/>
      <c r="BA58" s="129"/>
      <c r="BB58" s="129"/>
      <c r="BC58" s="129"/>
      <c r="BD58" s="129"/>
      <c r="BE58" s="129"/>
      <c r="BF58" s="129"/>
      <c r="BG58" s="129"/>
      <c r="BH58" s="129"/>
      <c r="BI58" s="129"/>
      <c r="BJ58" s="129"/>
      <c r="BK58" s="129"/>
      <c r="BL58" s="129"/>
      <c r="BM58" s="129"/>
      <c r="BN58" s="129"/>
    </row>
    <row r="59" spans="17:67" ht="15.75" x14ac:dyDescent="0.25">
      <c r="T59" s="166"/>
      <c r="U59" s="166"/>
      <c r="V59" s="124"/>
      <c r="W59" s="123"/>
      <c r="X59" s="123"/>
      <c r="Y59" s="129"/>
      <c r="Z59" s="129"/>
      <c r="AA59" s="129"/>
      <c r="AB59" s="129"/>
      <c r="AC59" s="129"/>
      <c r="AD59" s="129"/>
      <c r="AE59" s="129"/>
      <c r="AF59" s="129"/>
      <c r="AG59" s="129"/>
      <c r="AH59" s="129"/>
      <c r="AI59" s="129"/>
      <c r="AJ59" s="129"/>
      <c r="AK59" s="129"/>
      <c r="AL59" s="129"/>
      <c r="AM59" s="129"/>
      <c r="AN59" s="129"/>
      <c r="AO59" s="129"/>
      <c r="AP59" s="129"/>
      <c r="AQ59" s="129"/>
      <c r="AR59" s="129"/>
      <c r="AS59" s="129"/>
      <c r="AT59" s="129"/>
      <c r="AU59" s="129"/>
      <c r="AV59" s="129"/>
      <c r="AW59" s="129"/>
      <c r="AX59" s="129"/>
      <c r="AY59" s="129"/>
      <c r="AZ59" s="129"/>
      <c r="BA59" s="129"/>
      <c r="BB59" s="129"/>
      <c r="BC59" s="129"/>
      <c r="BD59" s="129"/>
      <c r="BE59" s="129"/>
      <c r="BF59" s="129"/>
      <c r="BG59" s="129"/>
      <c r="BH59" s="129"/>
      <c r="BI59" s="129"/>
      <c r="BJ59" s="129"/>
      <c r="BK59" s="129"/>
      <c r="BL59" s="129"/>
      <c r="BM59" s="129"/>
      <c r="BN59" s="129"/>
    </row>
    <row r="60" spans="17:67" ht="15.75" x14ac:dyDescent="0.25">
      <c r="T60" s="166"/>
      <c r="U60" s="166"/>
      <c r="V60" s="124"/>
      <c r="W60" s="123"/>
      <c r="X60" s="123"/>
      <c r="Y60" s="129"/>
      <c r="Z60" s="129"/>
      <c r="AA60" s="129"/>
      <c r="AB60" s="129"/>
      <c r="AC60" s="129"/>
      <c r="AD60" s="129"/>
      <c r="AE60" s="129"/>
      <c r="AF60" s="129"/>
      <c r="AG60" s="129"/>
      <c r="AH60" s="129"/>
      <c r="AI60" s="129"/>
      <c r="AJ60" s="129"/>
      <c r="AK60" s="129"/>
      <c r="AL60" s="129"/>
      <c r="AM60" s="129"/>
      <c r="AN60" s="129"/>
      <c r="AO60" s="129"/>
      <c r="AP60" s="129"/>
      <c r="AQ60" s="129"/>
      <c r="AR60" s="129"/>
      <c r="AS60" s="129"/>
      <c r="AT60" s="129"/>
      <c r="AU60" s="129"/>
      <c r="AV60" s="129"/>
      <c r="AW60" s="129"/>
      <c r="AX60" s="129"/>
      <c r="AY60" s="129"/>
      <c r="AZ60" s="129"/>
      <c r="BA60" s="129"/>
      <c r="BB60" s="129"/>
      <c r="BC60" s="129"/>
      <c r="BD60" s="129"/>
      <c r="BE60" s="129"/>
      <c r="BF60" s="129"/>
      <c r="BG60" s="129"/>
      <c r="BH60" s="129"/>
      <c r="BI60" s="129"/>
      <c r="BJ60" s="129"/>
      <c r="BK60" s="129"/>
      <c r="BL60" s="129"/>
      <c r="BM60" s="129"/>
      <c r="BN60" s="129"/>
    </row>
    <row r="61" spans="17:67" ht="15.75" x14ac:dyDescent="0.25">
      <c r="T61" s="166"/>
      <c r="U61" s="166"/>
      <c r="V61" s="124"/>
      <c r="W61" s="123"/>
      <c r="X61" s="123"/>
      <c r="Y61" s="129"/>
      <c r="Z61" s="129"/>
      <c r="AA61" s="129"/>
      <c r="AB61" s="129"/>
      <c r="AC61" s="129"/>
      <c r="AD61" s="129"/>
      <c r="AE61" s="129"/>
      <c r="AF61" s="129"/>
      <c r="AG61" s="129"/>
      <c r="AH61" s="129"/>
      <c r="AI61" s="129"/>
      <c r="AJ61" s="129"/>
      <c r="AK61" s="129"/>
      <c r="AL61" s="129"/>
      <c r="AM61" s="129"/>
      <c r="AN61" s="129"/>
      <c r="AO61" s="129"/>
      <c r="AP61" s="129"/>
      <c r="AQ61" s="129"/>
      <c r="AR61" s="129"/>
      <c r="AS61" s="129"/>
      <c r="AT61" s="129"/>
      <c r="AU61" s="129"/>
      <c r="AV61" s="129"/>
      <c r="AW61" s="129"/>
      <c r="AX61" s="129"/>
      <c r="AY61" s="129"/>
      <c r="AZ61" s="129"/>
      <c r="BA61" s="129"/>
      <c r="BB61" s="129"/>
      <c r="BC61" s="129"/>
      <c r="BD61" s="129"/>
      <c r="BE61" s="129"/>
      <c r="BF61" s="129"/>
      <c r="BG61" s="129"/>
      <c r="BH61" s="129"/>
      <c r="BI61" s="129"/>
      <c r="BJ61" s="129"/>
      <c r="BK61" s="129"/>
      <c r="BL61" s="129"/>
      <c r="BM61" s="129"/>
      <c r="BN61" s="129"/>
    </row>
    <row r="62" spans="17:67" ht="15.75" x14ac:dyDescent="0.25">
      <c r="T62" s="166"/>
      <c r="U62" s="166"/>
      <c r="V62" s="124"/>
      <c r="W62" s="123"/>
      <c r="X62" s="123"/>
      <c r="Y62" s="129"/>
      <c r="Z62" s="129"/>
      <c r="AA62" s="129"/>
      <c r="AB62" s="129"/>
      <c r="AC62" s="129"/>
      <c r="AD62" s="129"/>
      <c r="AE62" s="129"/>
      <c r="AF62" s="129"/>
      <c r="AG62" s="129"/>
      <c r="AH62" s="129"/>
      <c r="AI62" s="129"/>
      <c r="AJ62" s="129"/>
      <c r="AK62" s="129"/>
      <c r="AL62" s="129"/>
      <c r="AM62" s="129"/>
      <c r="AN62" s="129"/>
      <c r="AO62" s="129"/>
      <c r="AP62" s="129"/>
      <c r="AQ62" s="129"/>
      <c r="AR62" s="129"/>
      <c r="AS62" s="129"/>
      <c r="AT62" s="129"/>
      <c r="AU62" s="129"/>
      <c r="AV62" s="129"/>
      <c r="AW62" s="129"/>
      <c r="AX62" s="129"/>
      <c r="AY62" s="129"/>
      <c r="AZ62" s="129"/>
      <c r="BA62" s="129"/>
      <c r="BB62" s="129"/>
      <c r="BC62" s="129"/>
      <c r="BD62" s="129"/>
      <c r="BE62" s="129"/>
      <c r="BF62" s="129"/>
      <c r="BG62" s="129"/>
      <c r="BH62" s="129"/>
      <c r="BI62" s="129"/>
      <c r="BJ62" s="129"/>
      <c r="BK62" s="129"/>
      <c r="BL62" s="129"/>
      <c r="BM62" s="129"/>
      <c r="BN62" s="129"/>
    </row>
    <row r="63" spans="17:67" ht="15.75" x14ac:dyDescent="0.25">
      <c r="T63" s="166"/>
      <c r="U63" s="166"/>
      <c r="V63" s="124"/>
      <c r="W63" s="123"/>
      <c r="X63" s="123"/>
      <c r="Y63" s="129"/>
      <c r="Z63" s="129"/>
      <c r="AA63" s="129"/>
      <c r="AB63" s="129"/>
      <c r="AC63" s="129"/>
      <c r="AD63" s="129"/>
      <c r="AE63" s="129"/>
      <c r="AF63" s="129"/>
      <c r="AG63" s="129"/>
      <c r="AH63" s="129"/>
      <c r="AI63" s="129"/>
      <c r="AJ63" s="129"/>
      <c r="AK63" s="129"/>
      <c r="AL63" s="129"/>
      <c r="AM63" s="129"/>
      <c r="AN63" s="129"/>
      <c r="AO63" s="129"/>
      <c r="AP63" s="129"/>
      <c r="AQ63" s="129"/>
      <c r="AR63" s="129"/>
      <c r="AS63" s="129"/>
      <c r="AT63" s="129"/>
      <c r="AU63" s="129"/>
      <c r="AV63" s="129"/>
      <c r="AW63" s="129"/>
      <c r="AX63" s="129"/>
      <c r="AY63" s="129"/>
      <c r="AZ63" s="129"/>
      <c r="BA63" s="129"/>
      <c r="BB63" s="129"/>
      <c r="BC63" s="129"/>
      <c r="BD63" s="129"/>
      <c r="BE63" s="129"/>
      <c r="BF63" s="129"/>
      <c r="BG63" s="129"/>
      <c r="BH63" s="129"/>
      <c r="BI63" s="129"/>
      <c r="BJ63" s="129"/>
      <c r="BK63" s="129"/>
      <c r="BL63" s="129"/>
      <c r="BM63" s="129"/>
      <c r="BN63" s="129"/>
    </row>
    <row r="64" spans="17:67" ht="15.75" x14ac:dyDescent="0.25">
      <c r="T64" s="166"/>
      <c r="U64" s="166"/>
      <c r="V64" s="124"/>
      <c r="W64" s="123"/>
      <c r="X64" s="123"/>
      <c r="Y64" s="129"/>
      <c r="Z64" s="129"/>
      <c r="AA64" s="129"/>
      <c r="AB64" s="129"/>
      <c r="AC64" s="129"/>
      <c r="AD64" s="129"/>
      <c r="AE64" s="129"/>
      <c r="AF64" s="129"/>
      <c r="AG64" s="129"/>
      <c r="AH64" s="129"/>
      <c r="AI64" s="129"/>
      <c r="AJ64" s="129"/>
      <c r="AK64" s="129"/>
      <c r="AL64" s="129"/>
      <c r="AM64" s="129"/>
      <c r="AN64" s="129"/>
      <c r="AO64" s="129"/>
      <c r="AP64" s="129"/>
      <c r="AQ64" s="129"/>
      <c r="AR64" s="129"/>
      <c r="AS64" s="129"/>
      <c r="AT64" s="129"/>
      <c r="AU64" s="129"/>
      <c r="AV64" s="129"/>
      <c r="AW64" s="129"/>
      <c r="AX64" s="129"/>
      <c r="AY64" s="129"/>
      <c r="AZ64" s="129"/>
      <c r="BA64" s="129"/>
      <c r="BB64" s="129"/>
      <c r="BC64" s="129"/>
      <c r="BD64" s="129"/>
      <c r="BE64" s="129"/>
      <c r="BF64" s="129"/>
      <c r="BG64" s="129"/>
      <c r="BH64" s="129"/>
      <c r="BI64" s="129"/>
      <c r="BJ64" s="129"/>
      <c r="BK64" s="129"/>
      <c r="BL64" s="129"/>
      <c r="BM64" s="129"/>
      <c r="BN64" s="129"/>
    </row>
    <row r="65" spans="20:66" ht="15.75" x14ac:dyDescent="0.25">
      <c r="T65" s="166"/>
      <c r="U65" s="166"/>
      <c r="V65" s="124"/>
      <c r="W65" s="123"/>
      <c r="X65" s="123"/>
      <c r="Y65" s="129"/>
      <c r="Z65" s="129"/>
      <c r="AA65" s="129"/>
      <c r="AB65" s="129"/>
      <c r="AC65" s="129"/>
      <c r="AD65" s="129"/>
      <c r="AE65" s="129"/>
      <c r="AF65" s="129"/>
      <c r="AG65" s="129"/>
      <c r="AH65" s="129"/>
      <c r="AI65" s="129"/>
      <c r="AJ65" s="129"/>
      <c r="AK65" s="129"/>
      <c r="AL65" s="129"/>
      <c r="AM65" s="129"/>
      <c r="AN65" s="129"/>
      <c r="AO65" s="129"/>
      <c r="AP65" s="129"/>
      <c r="AQ65" s="129"/>
      <c r="AR65" s="129"/>
      <c r="AS65" s="129"/>
      <c r="AT65" s="129"/>
      <c r="AU65" s="129"/>
      <c r="AV65" s="129"/>
      <c r="AW65" s="129"/>
      <c r="AX65" s="129"/>
      <c r="AY65" s="129"/>
      <c r="AZ65" s="129"/>
      <c r="BA65" s="129"/>
      <c r="BB65" s="129"/>
      <c r="BC65" s="129"/>
      <c r="BD65" s="129"/>
      <c r="BE65" s="129"/>
      <c r="BF65" s="129"/>
      <c r="BG65" s="129"/>
      <c r="BH65" s="129"/>
      <c r="BI65" s="129"/>
      <c r="BJ65" s="129"/>
      <c r="BK65" s="129"/>
      <c r="BL65" s="129"/>
      <c r="BM65" s="129"/>
      <c r="BN65" s="129"/>
    </row>
    <row r="66" spans="20:66" ht="15.75" x14ac:dyDescent="0.25">
      <c r="T66" s="166"/>
      <c r="U66" s="166"/>
      <c r="V66" s="124"/>
      <c r="W66" s="123"/>
      <c r="X66" s="123"/>
      <c r="Y66" s="129"/>
      <c r="Z66" s="129"/>
      <c r="AA66" s="129"/>
      <c r="AB66" s="129"/>
      <c r="AC66" s="129"/>
      <c r="AD66" s="129"/>
      <c r="AE66" s="129"/>
      <c r="AF66" s="129"/>
      <c r="AG66" s="129"/>
      <c r="AH66" s="129"/>
      <c r="AI66" s="129"/>
      <c r="AJ66" s="129"/>
      <c r="AK66" s="129"/>
      <c r="AL66" s="129"/>
      <c r="AM66" s="129"/>
      <c r="AN66" s="129"/>
      <c r="AO66" s="129"/>
      <c r="AP66" s="129"/>
      <c r="AQ66" s="129"/>
      <c r="AR66" s="129"/>
      <c r="AS66" s="129"/>
      <c r="AT66" s="129"/>
      <c r="AU66" s="129"/>
      <c r="AV66" s="129"/>
      <c r="AW66" s="129"/>
      <c r="AX66" s="129"/>
      <c r="AY66" s="129"/>
      <c r="AZ66" s="129"/>
      <c r="BA66" s="129"/>
      <c r="BB66" s="129"/>
      <c r="BC66" s="129"/>
      <c r="BD66" s="129"/>
      <c r="BE66" s="129"/>
      <c r="BF66" s="129"/>
      <c r="BG66" s="129"/>
      <c r="BH66" s="129"/>
      <c r="BI66" s="129"/>
      <c r="BJ66" s="129"/>
      <c r="BK66" s="129"/>
      <c r="BL66" s="129"/>
      <c r="BM66" s="129"/>
      <c r="BN66" s="129"/>
    </row>
    <row r="67" spans="20:66" ht="15.75" x14ac:dyDescent="0.25">
      <c r="T67" s="166"/>
      <c r="U67" s="166"/>
      <c r="V67" s="124"/>
      <c r="W67" s="123"/>
      <c r="X67" s="123"/>
      <c r="Y67" s="129"/>
      <c r="Z67" s="129"/>
      <c r="AA67" s="129"/>
      <c r="AB67" s="129"/>
      <c r="AC67" s="129"/>
      <c r="AD67" s="129"/>
      <c r="AE67" s="129"/>
      <c r="AF67" s="129"/>
      <c r="AG67" s="129"/>
      <c r="AH67" s="129"/>
      <c r="AI67" s="129"/>
      <c r="AJ67" s="129"/>
      <c r="AK67" s="129"/>
      <c r="AL67" s="129"/>
      <c r="AM67" s="129"/>
      <c r="AN67" s="129"/>
      <c r="AO67" s="129"/>
      <c r="AP67" s="129"/>
      <c r="AQ67" s="129"/>
      <c r="AR67" s="129"/>
      <c r="AS67" s="129"/>
      <c r="AT67" s="129"/>
      <c r="AU67" s="129"/>
      <c r="AV67" s="129"/>
      <c r="AW67" s="129"/>
      <c r="AX67" s="129"/>
      <c r="AY67" s="129"/>
      <c r="AZ67" s="129"/>
      <c r="BA67" s="129"/>
      <c r="BB67" s="129"/>
      <c r="BC67" s="129"/>
      <c r="BD67" s="129"/>
      <c r="BE67" s="129"/>
      <c r="BF67" s="129"/>
      <c r="BG67" s="129"/>
      <c r="BH67" s="129"/>
      <c r="BI67" s="129"/>
      <c r="BJ67" s="129"/>
      <c r="BK67" s="129"/>
      <c r="BL67" s="129"/>
      <c r="BM67" s="129"/>
      <c r="BN67" s="129"/>
    </row>
    <row r="68" spans="20:66" ht="15.75" x14ac:dyDescent="0.25">
      <c r="T68" s="166"/>
      <c r="U68" s="166"/>
      <c r="V68" s="124"/>
      <c r="W68" s="123"/>
      <c r="X68" s="123"/>
      <c r="Y68" s="129"/>
      <c r="Z68" s="129"/>
      <c r="AA68" s="129"/>
      <c r="AB68" s="129"/>
      <c r="AC68" s="129"/>
      <c r="AD68" s="129"/>
      <c r="AE68" s="129"/>
      <c r="AF68" s="129"/>
      <c r="AG68" s="129"/>
      <c r="AH68" s="129"/>
      <c r="AI68" s="129"/>
      <c r="AJ68" s="129"/>
      <c r="AK68" s="129"/>
      <c r="AL68" s="129"/>
      <c r="AM68" s="129"/>
      <c r="AN68" s="129"/>
      <c r="AO68" s="129"/>
      <c r="AP68" s="129"/>
      <c r="AQ68" s="129"/>
      <c r="AR68" s="129"/>
      <c r="AS68" s="129"/>
      <c r="AT68" s="129"/>
      <c r="AU68" s="129"/>
      <c r="AV68" s="129"/>
      <c r="AW68" s="129"/>
      <c r="AX68" s="129"/>
      <c r="AY68" s="129"/>
      <c r="AZ68" s="129"/>
      <c r="BA68" s="129"/>
      <c r="BB68" s="129"/>
      <c r="BC68" s="129"/>
      <c r="BD68" s="129"/>
      <c r="BE68" s="129"/>
      <c r="BF68" s="129"/>
      <c r="BG68" s="129"/>
      <c r="BH68" s="129"/>
      <c r="BI68" s="129"/>
      <c r="BJ68" s="129"/>
      <c r="BK68" s="129"/>
      <c r="BL68" s="129"/>
      <c r="BM68" s="129"/>
      <c r="BN68" s="129"/>
    </row>
    <row r="69" spans="20:66" ht="15.75" x14ac:dyDescent="0.25">
      <c r="T69" s="166"/>
      <c r="U69" s="166"/>
      <c r="V69" s="124"/>
      <c r="W69" s="123"/>
      <c r="X69" s="123"/>
      <c r="Y69" s="129"/>
      <c r="Z69" s="129"/>
      <c r="AA69" s="129"/>
      <c r="AB69" s="129"/>
      <c r="AC69" s="129"/>
      <c r="AD69" s="129"/>
      <c r="AE69" s="129"/>
      <c r="AF69" s="129"/>
      <c r="AG69" s="129"/>
      <c r="AH69" s="129"/>
      <c r="AI69" s="129"/>
      <c r="AJ69" s="129"/>
      <c r="AK69" s="129"/>
      <c r="AL69" s="129"/>
      <c r="AM69" s="129"/>
      <c r="AN69" s="129"/>
      <c r="AO69" s="129"/>
      <c r="AP69" s="129"/>
      <c r="AQ69" s="129"/>
      <c r="AR69" s="129"/>
      <c r="AS69" s="129"/>
      <c r="AT69" s="129"/>
      <c r="AU69" s="129"/>
      <c r="AV69" s="129"/>
      <c r="AW69" s="129"/>
      <c r="AX69" s="129"/>
      <c r="AY69" s="129"/>
      <c r="AZ69" s="129"/>
      <c r="BA69" s="129"/>
      <c r="BB69" s="129"/>
      <c r="BC69" s="129"/>
      <c r="BD69" s="129"/>
      <c r="BE69" s="129"/>
      <c r="BF69" s="129"/>
      <c r="BG69" s="129"/>
      <c r="BH69" s="129"/>
      <c r="BI69" s="129"/>
      <c r="BJ69" s="129"/>
      <c r="BK69" s="129"/>
      <c r="BL69" s="129"/>
      <c r="BM69" s="129"/>
      <c r="BN69" s="129"/>
    </row>
    <row r="70" spans="20:66" ht="15.75" x14ac:dyDescent="0.25">
      <c r="T70" s="166"/>
      <c r="U70" s="166"/>
      <c r="V70" s="124"/>
      <c r="W70" s="123"/>
      <c r="X70" s="123"/>
      <c r="Y70" s="129"/>
      <c r="Z70" s="129"/>
      <c r="AA70" s="129"/>
      <c r="AB70" s="129"/>
      <c r="AC70" s="129"/>
      <c r="AD70" s="129"/>
      <c r="AE70" s="129"/>
      <c r="AF70" s="129"/>
      <c r="AG70" s="129"/>
      <c r="AH70" s="129"/>
      <c r="AI70" s="129"/>
      <c r="AJ70" s="129"/>
      <c r="AK70" s="129"/>
      <c r="AL70" s="129"/>
      <c r="AM70" s="129"/>
      <c r="AN70" s="129"/>
      <c r="AO70" s="129"/>
      <c r="AP70" s="129"/>
      <c r="AQ70" s="129"/>
      <c r="AR70" s="129"/>
      <c r="AS70" s="129"/>
      <c r="AT70" s="129"/>
      <c r="AU70" s="129"/>
      <c r="AV70" s="129"/>
      <c r="AW70" s="129"/>
      <c r="AX70" s="129"/>
      <c r="AY70" s="129"/>
      <c r="AZ70" s="129"/>
      <c r="BA70" s="129"/>
      <c r="BB70" s="129"/>
      <c r="BC70" s="129"/>
      <c r="BD70" s="129"/>
      <c r="BE70" s="129"/>
      <c r="BF70" s="129"/>
      <c r="BG70" s="129"/>
      <c r="BH70" s="129"/>
      <c r="BI70" s="129"/>
      <c r="BJ70" s="129"/>
      <c r="BK70" s="129"/>
      <c r="BL70" s="129"/>
      <c r="BM70" s="129"/>
      <c r="BN70" s="129"/>
    </row>
    <row r="71" spans="20:66" ht="15.75" x14ac:dyDescent="0.25">
      <c r="T71" s="166"/>
      <c r="U71" s="166"/>
      <c r="V71" s="124"/>
      <c r="W71" s="123"/>
      <c r="X71" s="123"/>
      <c r="Y71" s="129"/>
      <c r="Z71" s="129"/>
      <c r="AA71" s="129"/>
      <c r="AB71" s="129"/>
      <c r="AC71" s="129"/>
      <c r="AD71" s="129"/>
      <c r="AE71" s="129"/>
      <c r="AF71" s="129"/>
      <c r="AG71" s="129"/>
      <c r="AH71" s="129"/>
      <c r="AI71" s="129"/>
      <c r="AJ71" s="129"/>
      <c r="AK71" s="129"/>
      <c r="AL71" s="129"/>
      <c r="AM71" s="129"/>
      <c r="AN71" s="129"/>
      <c r="AO71" s="129"/>
      <c r="AP71" s="129"/>
      <c r="AQ71" s="129"/>
      <c r="AR71" s="129"/>
      <c r="AS71" s="129"/>
      <c r="AT71" s="129"/>
      <c r="AU71" s="129"/>
      <c r="AV71" s="129"/>
      <c r="AW71" s="129"/>
      <c r="AX71" s="129"/>
      <c r="AY71" s="129"/>
      <c r="AZ71" s="129"/>
      <c r="BA71" s="129"/>
      <c r="BB71" s="129"/>
      <c r="BC71" s="129"/>
      <c r="BD71" s="129"/>
      <c r="BE71" s="129"/>
      <c r="BF71" s="129"/>
      <c r="BG71" s="129"/>
      <c r="BH71" s="129"/>
      <c r="BI71" s="129"/>
      <c r="BJ71" s="129"/>
      <c r="BK71" s="129"/>
      <c r="BL71" s="129"/>
      <c r="BM71" s="129"/>
      <c r="BN71" s="129"/>
    </row>
    <row r="72" spans="20:66" ht="15.75" x14ac:dyDescent="0.25">
      <c r="T72" s="166"/>
      <c r="U72" s="166"/>
      <c r="V72" s="124"/>
      <c r="W72" s="123"/>
      <c r="X72" s="123"/>
      <c r="Y72" s="129"/>
      <c r="Z72" s="129"/>
      <c r="AA72" s="129"/>
      <c r="AB72" s="129"/>
      <c r="AC72" s="129"/>
      <c r="AD72" s="129"/>
      <c r="AE72" s="129"/>
      <c r="AF72" s="129"/>
      <c r="AG72" s="129"/>
      <c r="AH72" s="129"/>
      <c r="AI72" s="129"/>
      <c r="AJ72" s="129"/>
      <c r="AK72" s="129"/>
      <c r="AL72" s="129"/>
      <c r="AM72" s="129"/>
      <c r="AN72" s="129"/>
      <c r="AO72" s="129"/>
      <c r="AP72" s="129"/>
      <c r="AQ72" s="129"/>
      <c r="AR72" s="129"/>
      <c r="AS72" s="129"/>
      <c r="AT72" s="129"/>
      <c r="AU72" s="129"/>
      <c r="AV72" s="129"/>
      <c r="AW72" s="129"/>
      <c r="AX72" s="129"/>
      <c r="AY72" s="129"/>
      <c r="AZ72" s="129"/>
      <c r="BA72" s="129"/>
      <c r="BB72" s="129"/>
      <c r="BC72" s="129"/>
      <c r="BD72" s="129"/>
      <c r="BE72" s="129"/>
      <c r="BF72" s="129"/>
      <c r="BG72" s="129"/>
      <c r="BH72" s="129"/>
      <c r="BI72" s="129"/>
      <c r="BJ72" s="129"/>
      <c r="BK72" s="129"/>
      <c r="BL72" s="129"/>
      <c r="BM72" s="129"/>
      <c r="BN72" s="129"/>
    </row>
    <row r="73" spans="20:66" ht="15.75" x14ac:dyDescent="0.25">
      <c r="T73" s="166"/>
      <c r="U73" s="166"/>
      <c r="V73" s="124"/>
      <c r="W73" s="123"/>
      <c r="X73" s="123"/>
      <c r="Y73" s="129"/>
      <c r="Z73" s="129"/>
      <c r="AA73" s="129"/>
      <c r="AB73" s="129"/>
      <c r="AC73" s="129"/>
      <c r="AD73" s="129"/>
      <c r="AE73" s="129"/>
      <c r="AF73" s="129"/>
      <c r="AG73" s="129"/>
      <c r="AH73" s="129"/>
      <c r="AI73" s="129"/>
      <c r="AJ73" s="129"/>
      <c r="AK73" s="129"/>
      <c r="AL73" s="129"/>
      <c r="AM73" s="129"/>
      <c r="AN73" s="129"/>
      <c r="AO73" s="129"/>
      <c r="AP73" s="129"/>
      <c r="AQ73" s="129"/>
      <c r="AR73" s="129"/>
      <c r="AS73" s="129"/>
      <c r="AT73" s="129"/>
      <c r="AU73" s="129"/>
      <c r="AV73" s="129"/>
      <c r="AW73" s="129"/>
      <c r="AX73" s="129"/>
      <c r="AY73" s="129"/>
      <c r="AZ73" s="129"/>
      <c r="BA73" s="129"/>
      <c r="BB73" s="129"/>
      <c r="BC73" s="129"/>
      <c r="BD73" s="129"/>
      <c r="BE73" s="129"/>
      <c r="BF73" s="129"/>
      <c r="BG73" s="129"/>
      <c r="BH73" s="129"/>
      <c r="BI73" s="129"/>
      <c r="BJ73" s="129"/>
      <c r="BK73" s="129"/>
      <c r="BL73" s="129"/>
      <c r="BM73" s="129"/>
      <c r="BN73" s="129"/>
    </row>
    <row r="74" spans="20:66" ht="15.75" x14ac:dyDescent="0.25">
      <c r="T74" s="166"/>
      <c r="U74" s="166"/>
      <c r="V74" s="124"/>
      <c r="W74" s="123"/>
      <c r="X74" s="123"/>
      <c r="Y74" s="129"/>
      <c r="Z74" s="129"/>
      <c r="AA74" s="129"/>
      <c r="AB74" s="129"/>
      <c r="AC74" s="129"/>
      <c r="AD74" s="129"/>
      <c r="AE74" s="129"/>
      <c r="AF74" s="129"/>
      <c r="AG74" s="129"/>
      <c r="AH74" s="129"/>
      <c r="AI74" s="129"/>
      <c r="AJ74" s="129"/>
      <c r="AK74" s="129"/>
      <c r="AL74" s="129"/>
      <c r="AM74" s="129"/>
      <c r="AN74" s="129"/>
      <c r="AO74" s="129"/>
      <c r="AP74" s="129"/>
      <c r="AQ74" s="129"/>
      <c r="AR74" s="129"/>
      <c r="AS74" s="129"/>
      <c r="AT74" s="129"/>
      <c r="AU74" s="129"/>
      <c r="AV74" s="129"/>
      <c r="AW74" s="129"/>
      <c r="AX74" s="129"/>
      <c r="AY74" s="129"/>
      <c r="AZ74" s="129"/>
      <c r="BA74" s="129"/>
      <c r="BB74" s="129"/>
      <c r="BC74" s="129"/>
      <c r="BD74" s="129"/>
      <c r="BE74" s="129"/>
      <c r="BF74" s="129"/>
      <c r="BG74" s="129"/>
      <c r="BH74" s="129"/>
      <c r="BI74" s="129"/>
      <c r="BJ74" s="129"/>
      <c r="BK74" s="129"/>
      <c r="BL74" s="129"/>
      <c r="BM74" s="129"/>
      <c r="BN74" s="129"/>
    </row>
    <row r="75" spans="20:66" ht="15.75" x14ac:dyDescent="0.25">
      <c r="T75" s="166"/>
      <c r="U75" s="166"/>
      <c r="V75" s="124"/>
      <c r="W75" s="124"/>
      <c r="X75" s="123"/>
      <c r="Y75" s="129"/>
      <c r="Z75" s="129"/>
      <c r="AA75" s="129"/>
      <c r="AB75" s="129"/>
      <c r="AC75" s="129"/>
      <c r="AD75" s="129"/>
      <c r="AE75" s="129"/>
      <c r="AF75" s="129"/>
      <c r="AG75" s="129"/>
      <c r="AH75" s="129"/>
      <c r="AI75" s="129"/>
      <c r="AJ75" s="129"/>
      <c r="AK75" s="129"/>
      <c r="AL75" s="129"/>
      <c r="AM75" s="129"/>
      <c r="AN75" s="129"/>
      <c r="AO75" s="129"/>
      <c r="AP75" s="129"/>
      <c r="AQ75" s="129"/>
      <c r="AR75" s="129"/>
      <c r="AS75" s="129"/>
      <c r="AT75" s="129"/>
      <c r="AU75" s="129"/>
      <c r="AV75" s="129"/>
      <c r="AW75" s="129"/>
      <c r="AX75" s="129"/>
      <c r="AY75" s="129"/>
      <c r="AZ75" s="129"/>
      <c r="BA75" s="129"/>
      <c r="BB75" s="129"/>
      <c r="BC75" s="129"/>
      <c r="BD75" s="129"/>
      <c r="BE75" s="129"/>
      <c r="BF75" s="129"/>
      <c r="BG75" s="129"/>
      <c r="BH75" s="129"/>
      <c r="BI75" s="129"/>
      <c r="BJ75" s="129"/>
      <c r="BK75" s="129"/>
      <c r="BL75" s="129"/>
      <c r="BM75" s="129"/>
      <c r="BN75" s="129"/>
    </row>
    <row r="76" spans="20:66" ht="15.75" x14ac:dyDescent="0.25">
      <c r="T76" s="166"/>
      <c r="U76" s="166"/>
      <c r="V76" s="124"/>
      <c r="W76" s="124"/>
      <c r="X76" s="123"/>
      <c r="Y76" s="129"/>
      <c r="Z76" s="129"/>
      <c r="AA76" s="129"/>
      <c r="AB76" s="129"/>
      <c r="AC76" s="129"/>
      <c r="AD76" s="129"/>
      <c r="AE76" s="129"/>
      <c r="AF76" s="129"/>
      <c r="AG76" s="129"/>
      <c r="AH76" s="129"/>
      <c r="AI76" s="129"/>
      <c r="AJ76" s="129"/>
      <c r="AK76" s="129"/>
      <c r="AL76" s="129"/>
      <c r="AM76" s="129"/>
      <c r="AN76" s="129"/>
      <c r="AO76" s="129"/>
      <c r="AP76" s="129"/>
      <c r="AQ76" s="129"/>
      <c r="AR76" s="129"/>
      <c r="AS76" s="129"/>
      <c r="AT76" s="129"/>
      <c r="AU76" s="129"/>
      <c r="AV76" s="129"/>
      <c r="AW76" s="129"/>
      <c r="AX76" s="129"/>
      <c r="AY76" s="129"/>
      <c r="AZ76" s="129"/>
      <c r="BA76" s="129"/>
      <c r="BB76" s="129"/>
      <c r="BC76" s="129"/>
      <c r="BD76" s="129"/>
      <c r="BE76" s="129"/>
      <c r="BF76" s="129"/>
      <c r="BG76" s="129"/>
      <c r="BH76" s="129"/>
      <c r="BI76" s="129"/>
      <c r="BJ76" s="129"/>
      <c r="BK76" s="129"/>
      <c r="BL76" s="129"/>
      <c r="BM76" s="129"/>
      <c r="BN76" s="129"/>
    </row>
    <row r="77" spans="20:66" ht="15.75" x14ac:dyDescent="0.25">
      <c r="T77" s="166"/>
      <c r="U77" s="166"/>
      <c r="V77" s="124"/>
      <c r="W77" s="124"/>
      <c r="X77" s="124"/>
      <c r="Y77" s="129"/>
      <c r="Z77" s="129"/>
      <c r="AA77" s="129"/>
      <c r="AB77" s="129"/>
      <c r="AC77" s="129"/>
      <c r="AD77" s="129"/>
      <c r="AE77" s="129"/>
      <c r="AF77" s="129"/>
      <c r="AG77" s="129"/>
      <c r="AH77" s="129"/>
      <c r="AI77" s="129"/>
      <c r="AJ77" s="129"/>
      <c r="AK77" s="129"/>
      <c r="AL77" s="129"/>
      <c r="AM77" s="129"/>
      <c r="AN77" s="129"/>
      <c r="AO77" s="129"/>
      <c r="AP77" s="129"/>
      <c r="AQ77" s="129"/>
      <c r="AR77" s="129"/>
      <c r="AS77" s="129"/>
      <c r="AT77" s="129"/>
      <c r="AU77" s="129"/>
      <c r="AV77" s="129"/>
      <c r="AW77" s="129"/>
      <c r="AX77" s="129"/>
      <c r="AY77" s="129"/>
      <c r="AZ77" s="129"/>
      <c r="BA77" s="129"/>
      <c r="BB77" s="129"/>
      <c r="BC77" s="129"/>
      <c r="BD77" s="129"/>
      <c r="BE77" s="129"/>
      <c r="BF77" s="129"/>
      <c r="BG77" s="129"/>
      <c r="BH77" s="129"/>
      <c r="BI77" s="129"/>
      <c r="BJ77" s="129"/>
      <c r="BK77" s="129"/>
      <c r="BL77" s="129"/>
      <c r="BM77" s="129"/>
      <c r="BN77" s="129"/>
    </row>
    <row r="78" spans="20:66" ht="15.75" x14ac:dyDescent="0.25">
      <c r="T78" s="166"/>
      <c r="U78" s="166"/>
      <c r="V78" s="124"/>
      <c r="W78" s="124"/>
      <c r="X78" s="124"/>
      <c r="Y78" s="129"/>
      <c r="Z78" s="129"/>
      <c r="AA78" s="129"/>
      <c r="AB78" s="129"/>
      <c r="AC78" s="129"/>
      <c r="AD78" s="129"/>
      <c r="AE78" s="129"/>
      <c r="AF78" s="129"/>
      <c r="AG78" s="129"/>
      <c r="AH78" s="129"/>
      <c r="AI78" s="129"/>
      <c r="AJ78" s="129"/>
      <c r="AK78" s="129"/>
      <c r="AL78" s="129"/>
      <c r="AM78" s="129"/>
      <c r="AN78" s="129"/>
      <c r="AO78" s="129"/>
      <c r="AP78" s="129"/>
      <c r="AQ78" s="129"/>
      <c r="AR78" s="129"/>
      <c r="AS78" s="129"/>
      <c r="AT78" s="129"/>
      <c r="AU78" s="129"/>
      <c r="AV78" s="129"/>
      <c r="AW78" s="129"/>
      <c r="AX78" s="129"/>
      <c r="AY78" s="129"/>
      <c r="AZ78" s="129"/>
      <c r="BA78" s="129"/>
      <c r="BB78" s="129"/>
      <c r="BC78" s="129"/>
      <c r="BD78" s="129"/>
      <c r="BE78" s="129"/>
      <c r="BF78" s="129"/>
      <c r="BG78" s="129"/>
      <c r="BH78" s="129"/>
      <c r="BI78" s="129"/>
      <c r="BJ78" s="129"/>
      <c r="BK78" s="129"/>
      <c r="BL78" s="129"/>
      <c r="BM78" s="129"/>
      <c r="BN78" s="129"/>
    </row>
    <row r="79" spans="20:66" ht="15.75" x14ac:dyDescent="0.25">
      <c r="T79" s="166"/>
      <c r="U79" s="166"/>
      <c r="V79" s="124"/>
      <c r="W79" s="124"/>
      <c r="X79" s="124"/>
      <c r="Y79" s="129"/>
      <c r="Z79" s="129"/>
      <c r="AA79" s="129"/>
      <c r="AB79" s="129"/>
      <c r="AC79" s="129"/>
      <c r="AD79" s="129"/>
      <c r="AE79" s="129"/>
      <c r="AF79" s="129"/>
      <c r="AG79" s="129"/>
      <c r="AH79" s="129"/>
      <c r="AI79" s="129"/>
      <c r="AJ79" s="129"/>
      <c r="AK79" s="129"/>
      <c r="AL79" s="129"/>
      <c r="AM79" s="129"/>
      <c r="AN79" s="129"/>
      <c r="AO79" s="129"/>
      <c r="AP79" s="129"/>
      <c r="AQ79" s="129"/>
      <c r="AR79" s="129"/>
      <c r="AS79" s="129"/>
      <c r="AT79" s="129"/>
      <c r="AU79" s="129"/>
      <c r="AV79" s="129"/>
      <c r="AW79" s="129"/>
      <c r="AX79" s="129"/>
      <c r="AY79" s="129"/>
      <c r="AZ79" s="129"/>
      <c r="BA79" s="129"/>
      <c r="BB79" s="129"/>
      <c r="BC79" s="129"/>
      <c r="BD79" s="129"/>
      <c r="BE79" s="129"/>
      <c r="BF79" s="129"/>
      <c r="BG79" s="129"/>
      <c r="BH79" s="129"/>
      <c r="BI79" s="129"/>
      <c r="BJ79" s="129"/>
      <c r="BK79" s="129"/>
      <c r="BL79" s="129"/>
      <c r="BM79" s="129"/>
      <c r="BN79" s="129"/>
    </row>
    <row r="80" spans="20:66" ht="15.75" x14ac:dyDescent="0.25">
      <c r="T80" s="166"/>
      <c r="U80" s="166"/>
      <c r="V80" s="124"/>
      <c r="W80" s="124"/>
      <c r="X80" s="124"/>
      <c r="Y80" s="129"/>
      <c r="Z80" s="129"/>
      <c r="AA80" s="129"/>
      <c r="AB80" s="129"/>
      <c r="AC80" s="129"/>
      <c r="AD80" s="129"/>
      <c r="AE80" s="129"/>
      <c r="AF80" s="129"/>
      <c r="AG80" s="129"/>
      <c r="AH80" s="129"/>
      <c r="AI80" s="129"/>
      <c r="AJ80" s="129"/>
      <c r="AK80" s="129"/>
      <c r="AL80" s="129"/>
      <c r="AM80" s="129"/>
      <c r="AN80" s="129"/>
      <c r="AO80" s="129"/>
      <c r="AP80" s="129"/>
      <c r="AQ80" s="129"/>
      <c r="AR80" s="129"/>
      <c r="AS80" s="129"/>
      <c r="AT80" s="129"/>
      <c r="AU80" s="129"/>
      <c r="AV80" s="129"/>
      <c r="AW80" s="129"/>
      <c r="AX80" s="129"/>
      <c r="AY80" s="129"/>
      <c r="AZ80" s="129"/>
      <c r="BA80" s="129"/>
      <c r="BB80" s="129"/>
      <c r="BC80" s="129"/>
      <c r="BD80" s="129"/>
      <c r="BE80" s="129"/>
      <c r="BF80" s="129"/>
      <c r="BG80" s="129"/>
      <c r="BH80" s="129"/>
      <c r="BI80" s="129"/>
      <c r="BJ80" s="129"/>
      <c r="BK80" s="129"/>
      <c r="BL80" s="129"/>
      <c r="BM80" s="129"/>
      <c r="BN80" s="129"/>
    </row>
    <row r="81" spans="20:66" ht="15.75" x14ac:dyDescent="0.25">
      <c r="T81" s="149"/>
      <c r="U81" s="149"/>
      <c r="V81" s="124"/>
      <c r="W81" s="124"/>
      <c r="X81" s="124"/>
      <c r="Y81" s="129"/>
      <c r="Z81" s="129"/>
      <c r="AA81" s="129"/>
      <c r="AB81" s="129"/>
      <c r="AC81" s="129"/>
      <c r="AD81" s="129"/>
      <c r="AE81" s="129"/>
      <c r="AF81" s="129"/>
      <c r="AG81" s="129"/>
      <c r="AH81" s="129"/>
      <c r="AI81" s="129"/>
      <c r="AJ81" s="129"/>
      <c r="AK81" s="129"/>
      <c r="AL81" s="129"/>
      <c r="AM81" s="129"/>
      <c r="AN81" s="129"/>
      <c r="AO81" s="129"/>
      <c r="AP81" s="129"/>
      <c r="AQ81" s="129"/>
      <c r="AR81" s="129"/>
      <c r="AS81" s="129"/>
      <c r="AT81" s="129"/>
      <c r="AU81" s="129"/>
      <c r="AV81" s="129"/>
      <c r="AW81" s="129"/>
      <c r="AX81" s="129"/>
      <c r="AY81" s="129"/>
      <c r="AZ81" s="129"/>
      <c r="BA81" s="129"/>
      <c r="BB81" s="129"/>
      <c r="BC81" s="129"/>
      <c r="BD81" s="129"/>
      <c r="BE81" s="129"/>
      <c r="BF81" s="129"/>
      <c r="BG81" s="129"/>
      <c r="BH81" s="129"/>
      <c r="BI81" s="129"/>
      <c r="BJ81" s="129"/>
      <c r="BK81" s="129"/>
      <c r="BL81" s="129"/>
      <c r="BM81" s="129"/>
      <c r="BN81" s="129"/>
    </row>
    <row r="82" spans="20:66" ht="15.75" x14ac:dyDescent="0.25">
      <c r="T82" s="149"/>
      <c r="U82" s="149"/>
      <c r="V82" s="124"/>
      <c r="W82" s="124"/>
      <c r="X82" s="124"/>
      <c r="Y82" s="129"/>
      <c r="Z82" s="129"/>
      <c r="AA82" s="129"/>
      <c r="AB82" s="129"/>
      <c r="AC82" s="129"/>
      <c r="AD82" s="129"/>
      <c r="AE82" s="129"/>
      <c r="AF82" s="129"/>
      <c r="AG82" s="129"/>
      <c r="AH82" s="129"/>
      <c r="AI82" s="129"/>
      <c r="AJ82" s="129"/>
      <c r="AK82" s="129"/>
      <c r="AL82" s="129"/>
      <c r="AM82" s="129"/>
      <c r="AN82" s="129"/>
      <c r="AO82" s="129"/>
      <c r="AP82" s="129"/>
      <c r="AQ82" s="129"/>
      <c r="AR82" s="129"/>
      <c r="AS82" s="129"/>
      <c r="AT82" s="129"/>
      <c r="AU82" s="129"/>
      <c r="AV82" s="129"/>
      <c r="AW82" s="129"/>
      <c r="AX82" s="129"/>
      <c r="AY82" s="129"/>
      <c r="AZ82" s="129"/>
      <c r="BA82" s="129"/>
      <c r="BB82" s="129"/>
      <c r="BC82" s="129"/>
      <c r="BD82" s="129"/>
      <c r="BE82" s="129"/>
      <c r="BF82" s="129"/>
      <c r="BG82" s="129"/>
      <c r="BH82" s="129"/>
      <c r="BI82" s="129"/>
      <c r="BJ82" s="129"/>
      <c r="BK82" s="129"/>
      <c r="BL82" s="129"/>
      <c r="BM82" s="129"/>
      <c r="BN82" s="129"/>
    </row>
    <row r="83" spans="20:66" ht="15.75" x14ac:dyDescent="0.25">
      <c r="T83" s="149"/>
      <c r="U83" s="149"/>
      <c r="V83" s="124"/>
      <c r="W83" s="124"/>
      <c r="X83" s="123"/>
      <c r="Y83" s="129"/>
      <c r="Z83" s="129"/>
      <c r="AA83" s="129"/>
      <c r="AB83" s="129"/>
      <c r="AC83" s="129"/>
      <c r="AD83" s="129"/>
      <c r="AE83" s="129"/>
      <c r="AF83" s="129"/>
      <c r="AG83" s="129"/>
      <c r="AH83" s="129"/>
      <c r="AI83" s="129"/>
      <c r="AJ83" s="129"/>
      <c r="AK83" s="129"/>
      <c r="AL83" s="129"/>
      <c r="AM83" s="129"/>
      <c r="AN83" s="129"/>
      <c r="AO83" s="129"/>
      <c r="AP83" s="129"/>
      <c r="AQ83" s="129"/>
      <c r="AR83" s="129"/>
      <c r="AS83" s="129"/>
      <c r="AT83" s="129"/>
      <c r="AU83" s="129"/>
      <c r="AV83" s="129"/>
      <c r="AW83" s="129"/>
      <c r="AX83" s="129"/>
      <c r="AY83" s="129"/>
      <c r="AZ83" s="129"/>
      <c r="BA83" s="129"/>
      <c r="BB83" s="129"/>
      <c r="BC83" s="129"/>
      <c r="BD83" s="129"/>
      <c r="BE83" s="129"/>
      <c r="BF83" s="129"/>
      <c r="BG83" s="129"/>
      <c r="BH83" s="129"/>
      <c r="BI83" s="129"/>
      <c r="BJ83" s="129"/>
      <c r="BK83" s="129"/>
      <c r="BL83" s="129"/>
      <c r="BM83" s="129"/>
      <c r="BN83" s="129"/>
    </row>
    <row r="84" spans="20:66" ht="15.75" x14ac:dyDescent="0.25">
      <c r="T84" s="149"/>
      <c r="U84" s="149"/>
      <c r="V84" s="124"/>
      <c r="W84" s="124"/>
      <c r="X84" s="123"/>
      <c r="Y84" s="129"/>
      <c r="Z84" s="129"/>
      <c r="AA84" s="129"/>
      <c r="AB84" s="129"/>
      <c r="AC84" s="129"/>
      <c r="AD84" s="129"/>
      <c r="AE84" s="129"/>
      <c r="AF84" s="129"/>
      <c r="AG84" s="129"/>
      <c r="AH84" s="129"/>
      <c r="AI84" s="129"/>
      <c r="AJ84" s="129"/>
      <c r="AK84" s="129"/>
      <c r="AL84" s="129"/>
      <c r="AM84" s="129"/>
      <c r="AN84" s="129"/>
      <c r="AO84" s="129"/>
      <c r="AP84" s="129"/>
      <c r="AQ84" s="129"/>
      <c r="AR84" s="129"/>
      <c r="AS84" s="129"/>
      <c r="AT84" s="129"/>
      <c r="AU84" s="129"/>
      <c r="AV84" s="129"/>
      <c r="AW84" s="129"/>
      <c r="AX84" s="129"/>
      <c r="AY84" s="129"/>
      <c r="AZ84" s="129"/>
      <c r="BA84" s="129"/>
      <c r="BB84" s="129"/>
      <c r="BC84" s="129"/>
      <c r="BD84" s="129"/>
      <c r="BE84" s="129"/>
      <c r="BF84" s="129"/>
      <c r="BG84" s="129"/>
      <c r="BH84" s="129"/>
      <c r="BI84" s="129"/>
      <c r="BJ84" s="129"/>
      <c r="BK84" s="129"/>
      <c r="BL84" s="129"/>
      <c r="BM84" s="129"/>
      <c r="BN84" s="129"/>
    </row>
    <row r="85" spans="20:66" ht="15.75" x14ac:dyDescent="0.25">
      <c r="T85" s="149"/>
      <c r="U85" s="149"/>
      <c r="V85" s="124"/>
      <c r="W85" s="124"/>
      <c r="X85" s="123"/>
      <c r="Y85" s="129"/>
      <c r="Z85" s="129"/>
      <c r="AA85" s="129"/>
      <c r="AB85" s="129"/>
      <c r="AC85" s="129"/>
      <c r="AD85" s="129"/>
      <c r="AE85" s="129"/>
      <c r="AF85" s="129"/>
      <c r="AG85" s="129"/>
      <c r="AH85" s="129"/>
      <c r="AI85" s="129"/>
      <c r="AJ85" s="129"/>
      <c r="AK85" s="129"/>
      <c r="AL85" s="129"/>
      <c r="AM85" s="129"/>
      <c r="AN85" s="129"/>
      <c r="AO85" s="129"/>
      <c r="AP85" s="129"/>
      <c r="AQ85" s="129"/>
      <c r="AR85" s="129"/>
      <c r="AS85" s="129"/>
      <c r="AT85" s="129"/>
      <c r="AU85" s="129"/>
      <c r="AV85" s="129"/>
      <c r="AW85" s="129"/>
      <c r="AX85" s="129"/>
      <c r="AY85" s="129"/>
      <c r="AZ85" s="129"/>
      <c r="BA85" s="129"/>
      <c r="BB85" s="129"/>
      <c r="BC85" s="129"/>
      <c r="BD85" s="129"/>
      <c r="BE85" s="129"/>
      <c r="BF85" s="129"/>
      <c r="BG85" s="129"/>
      <c r="BH85" s="129"/>
      <c r="BI85" s="129"/>
      <c r="BJ85" s="129"/>
      <c r="BK85" s="129"/>
      <c r="BL85" s="129"/>
      <c r="BM85" s="129"/>
      <c r="BN85" s="129"/>
    </row>
    <row r="86" spans="20:66" ht="15.75" x14ac:dyDescent="0.25">
      <c r="T86" s="166"/>
      <c r="U86" s="166"/>
      <c r="V86" s="124"/>
      <c r="W86" s="124"/>
      <c r="X86" s="123"/>
      <c r="Y86" s="129"/>
      <c r="Z86" s="129"/>
      <c r="AA86" s="129"/>
      <c r="AB86" s="129"/>
      <c r="AC86" s="129"/>
      <c r="AD86" s="129"/>
      <c r="AE86" s="129"/>
      <c r="AF86" s="129"/>
      <c r="AG86" s="129"/>
      <c r="AH86" s="129"/>
      <c r="AI86" s="129"/>
      <c r="AJ86" s="129"/>
      <c r="AK86" s="129"/>
      <c r="AL86" s="129"/>
      <c r="AM86" s="129"/>
      <c r="AN86" s="129"/>
      <c r="AO86" s="129"/>
      <c r="AP86" s="129"/>
      <c r="AQ86" s="129"/>
      <c r="AR86" s="129"/>
      <c r="AS86" s="129"/>
      <c r="AT86" s="129"/>
      <c r="AU86" s="129"/>
      <c r="AV86" s="129"/>
      <c r="AW86" s="129"/>
      <c r="AX86" s="129"/>
      <c r="AY86" s="129"/>
      <c r="AZ86" s="129"/>
      <c r="BA86" s="129"/>
      <c r="BB86" s="129"/>
      <c r="BC86" s="129"/>
      <c r="BD86" s="129"/>
      <c r="BE86" s="129"/>
      <c r="BF86" s="129"/>
      <c r="BG86" s="129"/>
      <c r="BH86" s="129"/>
      <c r="BI86" s="129"/>
      <c r="BJ86" s="129"/>
      <c r="BK86" s="129"/>
      <c r="BL86" s="129"/>
      <c r="BM86" s="129"/>
      <c r="BN86" s="129"/>
    </row>
    <row r="87" spans="20:66" ht="15.75" x14ac:dyDescent="0.25">
      <c r="T87" s="15"/>
      <c r="U87" s="15"/>
      <c r="V87" s="124"/>
      <c r="W87" s="124"/>
      <c r="X87" s="123"/>
      <c r="Y87" s="129"/>
      <c r="Z87" s="129"/>
      <c r="AA87" s="129"/>
      <c r="AB87" s="129"/>
      <c r="AC87" s="129"/>
      <c r="AD87" s="129"/>
      <c r="AE87" s="129"/>
      <c r="AF87" s="129"/>
      <c r="AG87" s="129"/>
      <c r="AH87" s="129"/>
      <c r="AI87" s="129"/>
      <c r="AJ87" s="129"/>
      <c r="AK87" s="129"/>
      <c r="AL87" s="129"/>
      <c r="AM87" s="129"/>
      <c r="AN87" s="129"/>
      <c r="AO87" s="129"/>
      <c r="AP87" s="129"/>
      <c r="AQ87" s="129"/>
      <c r="AR87" s="129"/>
      <c r="AS87" s="129"/>
      <c r="AT87" s="129"/>
      <c r="AU87" s="129"/>
      <c r="AV87" s="129"/>
      <c r="AW87" s="129"/>
      <c r="AX87" s="129"/>
      <c r="AY87" s="129"/>
      <c r="AZ87" s="129"/>
      <c r="BA87" s="129"/>
      <c r="BB87" s="129"/>
      <c r="BC87" s="129"/>
      <c r="BD87" s="129"/>
      <c r="BE87" s="129"/>
      <c r="BF87" s="129"/>
      <c r="BG87" s="129"/>
      <c r="BH87" s="129"/>
      <c r="BI87" s="129"/>
      <c r="BJ87" s="129"/>
      <c r="BK87" s="129"/>
      <c r="BL87" s="129"/>
      <c r="BM87" s="129"/>
      <c r="BN87" s="129"/>
    </row>
    <row r="88" spans="20:66" ht="15.75" x14ac:dyDescent="0.25">
      <c r="T88" s="15"/>
      <c r="U88" s="15"/>
      <c r="V88" s="124"/>
      <c r="W88" s="124"/>
      <c r="X88" s="124"/>
      <c r="Y88" s="240"/>
      <c r="Z88" s="240"/>
      <c r="AA88" s="240"/>
      <c r="AB88" s="240"/>
      <c r="AC88" s="240"/>
      <c r="AD88" s="240"/>
      <c r="AE88" s="240"/>
      <c r="AF88" s="240"/>
      <c r="AG88" s="240"/>
      <c r="AH88" s="240"/>
      <c r="AI88" s="240"/>
      <c r="AJ88" s="240"/>
      <c r="AK88" s="240"/>
      <c r="AL88" s="240"/>
      <c r="AM88" s="240"/>
      <c r="AN88" s="240"/>
      <c r="AO88" s="240"/>
      <c r="AP88" s="240"/>
      <c r="AQ88" s="240"/>
      <c r="AR88" s="240"/>
      <c r="AS88" s="240"/>
      <c r="AT88" s="240"/>
      <c r="AU88" s="240"/>
      <c r="AV88" s="240"/>
      <c r="AW88" s="240"/>
      <c r="AX88" s="240"/>
      <c r="AY88" s="240"/>
      <c r="AZ88" s="240"/>
      <c r="BA88" s="240"/>
      <c r="BB88" s="240"/>
      <c r="BC88" s="240"/>
      <c r="BD88" s="240"/>
      <c r="BE88" s="240"/>
      <c r="BF88" s="240"/>
      <c r="BG88" s="240"/>
      <c r="BH88" s="240"/>
      <c r="BI88" s="240"/>
      <c r="BJ88" s="240"/>
      <c r="BK88" s="240"/>
      <c r="BL88" s="240"/>
      <c r="BM88" s="240"/>
      <c r="BN88" s="240"/>
    </row>
    <row r="89" spans="20:66" ht="15.75" x14ac:dyDescent="0.25">
      <c r="T89" s="15"/>
      <c r="U89" s="15"/>
      <c r="V89" s="124"/>
      <c r="W89" s="124"/>
      <c r="X89" s="123"/>
      <c r="Y89" s="129"/>
      <c r="Z89" s="129"/>
      <c r="AA89" s="129"/>
      <c r="AB89" s="129"/>
      <c r="AC89" s="129"/>
      <c r="AD89" s="129"/>
      <c r="AE89" s="129"/>
      <c r="AF89" s="129"/>
      <c r="AG89" s="129"/>
      <c r="AH89" s="129"/>
      <c r="AI89" s="129"/>
      <c r="AJ89" s="129"/>
      <c r="AK89" s="129"/>
      <c r="AL89" s="129"/>
      <c r="AM89" s="129"/>
      <c r="AN89" s="129"/>
      <c r="AO89" s="129"/>
      <c r="AP89" s="129"/>
      <c r="AQ89" s="129"/>
      <c r="AR89" s="129"/>
      <c r="AS89" s="129"/>
      <c r="AT89" s="129"/>
      <c r="AU89" s="129"/>
      <c r="AV89" s="129"/>
      <c r="AW89" s="129"/>
      <c r="AX89" s="129"/>
      <c r="AY89" s="129"/>
      <c r="AZ89" s="129"/>
      <c r="BA89" s="129"/>
      <c r="BB89" s="129"/>
      <c r="BC89" s="129"/>
      <c r="BD89" s="129"/>
      <c r="BE89" s="129"/>
      <c r="BF89" s="129"/>
      <c r="BG89" s="129"/>
      <c r="BH89" s="129"/>
      <c r="BI89" s="129"/>
      <c r="BJ89" s="129"/>
      <c r="BK89" s="129"/>
      <c r="BL89" s="129"/>
      <c r="BM89" s="129"/>
      <c r="BN89" s="129"/>
    </row>
    <row r="90" spans="20:66" ht="15.75" x14ac:dyDescent="0.25">
      <c r="T90" s="166"/>
      <c r="U90" s="166"/>
      <c r="Y90" s="520"/>
      <c r="Z90" s="520"/>
      <c r="AA90" s="520"/>
      <c r="AB90" s="520"/>
      <c r="AC90" s="520"/>
      <c r="AD90" s="520"/>
      <c r="AE90" s="520"/>
      <c r="AF90" s="520"/>
      <c r="AG90" s="520"/>
      <c r="AH90" s="520"/>
      <c r="AI90" s="520"/>
      <c r="AJ90" s="520"/>
      <c r="AK90" s="520"/>
      <c r="AL90" s="520"/>
      <c r="AM90" s="520"/>
      <c r="AN90" s="520"/>
      <c r="AO90" s="520"/>
      <c r="AP90" s="520"/>
      <c r="AQ90" s="520"/>
      <c r="AR90" s="520"/>
      <c r="AS90" s="520"/>
      <c r="AT90" s="520"/>
      <c r="AU90" s="520"/>
      <c r="AV90" s="520"/>
      <c r="AW90" s="520"/>
      <c r="AX90" s="520"/>
      <c r="AY90" s="520"/>
      <c r="AZ90" s="520"/>
      <c r="BA90" s="520"/>
      <c r="BB90" s="520"/>
      <c r="BC90" s="520"/>
      <c r="BD90" s="520"/>
      <c r="BE90" s="520"/>
      <c r="BF90" s="520"/>
      <c r="BG90" s="520"/>
      <c r="BH90" s="520"/>
      <c r="BI90" s="520"/>
      <c r="BJ90" s="520"/>
      <c r="BK90" s="520"/>
      <c r="BL90" s="520"/>
      <c r="BM90" s="520"/>
      <c r="BN90" s="520"/>
    </row>
    <row r="91" spans="20:66" ht="15.75" x14ac:dyDescent="0.25">
      <c r="T91" s="166"/>
      <c r="U91" s="166"/>
      <c r="Y91" s="520"/>
      <c r="Z91" s="520"/>
      <c r="AA91" s="520"/>
      <c r="AB91" s="520"/>
      <c r="AC91" s="520"/>
      <c r="AD91" s="520"/>
      <c r="AE91" s="520"/>
      <c r="AF91" s="520"/>
      <c r="AG91" s="520"/>
      <c r="AH91" s="520"/>
      <c r="AI91" s="520"/>
      <c r="AJ91" s="520"/>
      <c r="AK91" s="520"/>
      <c r="AL91" s="520"/>
      <c r="AM91" s="520"/>
      <c r="AN91" s="520"/>
      <c r="AO91" s="520"/>
      <c r="AP91" s="520"/>
      <c r="AQ91" s="520"/>
      <c r="AR91" s="520"/>
      <c r="AS91" s="520"/>
      <c r="AT91" s="520"/>
      <c r="AU91" s="520"/>
      <c r="AV91" s="520"/>
      <c r="AW91" s="520"/>
      <c r="AX91" s="520"/>
      <c r="AY91" s="520"/>
      <c r="AZ91" s="520"/>
      <c r="BA91" s="520"/>
      <c r="BB91" s="520"/>
      <c r="BC91" s="520"/>
      <c r="BD91" s="520"/>
      <c r="BE91" s="520"/>
      <c r="BF91" s="520"/>
      <c r="BG91" s="520"/>
      <c r="BH91" s="520"/>
      <c r="BI91" s="520"/>
      <c r="BJ91" s="520"/>
      <c r="BK91" s="520"/>
      <c r="BL91" s="520"/>
      <c r="BM91" s="520"/>
      <c r="BN91" s="520"/>
    </row>
    <row r="93" spans="20:66" ht="15.75" x14ac:dyDescent="0.25">
      <c r="X93" s="120"/>
      <c r="Y93" s="121"/>
      <c r="Z93" s="121"/>
      <c r="AA93" s="121"/>
      <c r="AB93" s="121"/>
      <c r="AC93" s="121"/>
      <c r="AD93" s="121"/>
      <c r="AE93" s="121"/>
      <c r="AF93" s="121"/>
      <c r="AG93" s="121"/>
      <c r="AH93" s="121"/>
      <c r="AI93" s="121"/>
      <c r="AJ93" s="121"/>
      <c r="AK93" s="121"/>
      <c r="AL93" s="121"/>
      <c r="AM93" s="121"/>
      <c r="AN93" s="121"/>
      <c r="AO93" s="121"/>
      <c r="AP93" s="121"/>
      <c r="AQ93" s="121"/>
      <c r="AR93" s="121"/>
      <c r="AS93" s="121"/>
      <c r="AT93" s="121"/>
      <c r="AU93" s="121"/>
      <c r="AV93" s="121"/>
      <c r="AW93" s="121"/>
      <c r="AX93" s="121"/>
      <c r="AY93" s="121"/>
      <c r="AZ93" s="121"/>
      <c r="BA93" s="121"/>
      <c r="BB93" s="121"/>
      <c r="BC93" s="121"/>
      <c r="BD93" s="121"/>
      <c r="BE93" s="121"/>
      <c r="BF93" s="121"/>
      <c r="BG93" s="121"/>
      <c r="BH93" s="121"/>
      <c r="BI93" s="121"/>
      <c r="BJ93" s="121"/>
      <c r="BK93" s="121"/>
      <c r="BL93" s="121"/>
      <c r="BM93" s="121"/>
      <c r="BN93" s="121"/>
    </row>
    <row r="94" spans="20:66" ht="15.75" x14ac:dyDescent="0.25">
      <c r="X94" s="120"/>
      <c r="Y94" s="60"/>
      <c r="Z94" s="60"/>
      <c r="AA94" s="60"/>
      <c r="AB94" s="60"/>
      <c r="AC94" s="60"/>
      <c r="AD94" s="60"/>
      <c r="AE94" s="60"/>
      <c r="AF94" s="60"/>
      <c r="AG94" s="60"/>
      <c r="AH94" s="60"/>
      <c r="AI94" s="60"/>
      <c r="AJ94" s="60"/>
      <c r="AK94" s="60"/>
      <c r="AL94" s="60"/>
      <c r="AM94" s="60"/>
      <c r="AN94" s="60"/>
      <c r="AO94" s="60"/>
      <c r="AP94" s="60"/>
      <c r="AQ94" s="60"/>
      <c r="AR94" s="60"/>
      <c r="AS94" s="60"/>
      <c r="AT94" s="60"/>
      <c r="AU94" s="60"/>
      <c r="AV94" s="60"/>
      <c r="AW94" s="60"/>
      <c r="AX94" s="60"/>
      <c r="AY94" s="60"/>
      <c r="AZ94" s="60"/>
      <c r="BA94" s="60"/>
      <c r="BB94" s="60"/>
      <c r="BC94" s="60"/>
      <c r="BD94" s="60"/>
      <c r="BE94" s="60"/>
      <c r="BF94" s="60"/>
      <c r="BG94" s="60"/>
      <c r="BH94" s="60"/>
      <c r="BI94" s="60"/>
      <c r="BJ94" s="60"/>
      <c r="BK94" s="60"/>
      <c r="BL94" s="60"/>
      <c r="BM94" s="60"/>
      <c r="BN94" s="60"/>
    </row>
    <row r="95" spans="20:66" ht="15.75" x14ac:dyDescent="0.25">
      <c r="X95" s="120"/>
      <c r="Y95" s="60"/>
      <c r="Z95" s="60"/>
      <c r="AA95" s="60"/>
      <c r="AB95" s="60"/>
      <c r="AC95" s="60"/>
      <c r="AD95" s="60"/>
      <c r="AE95" s="60"/>
      <c r="AF95" s="60"/>
      <c r="AG95" s="60"/>
      <c r="AH95" s="60"/>
      <c r="AI95" s="60"/>
      <c r="AJ95" s="60"/>
      <c r="AK95" s="60"/>
      <c r="AL95" s="60"/>
      <c r="AM95" s="60"/>
      <c r="AN95" s="60"/>
      <c r="AO95" s="60"/>
      <c r="AP95" s="60"/>
      <c r="AQ95" s="60"/>
      <c r="AR95" s="60"/>
      <c r="AS95" s="60"/>
      <c r="AT95" s="60"/>
      <c r="AU95" s="60"/>
      <c r="AV95" s="60"/>
      <c r="AW95" s="60"/>
      <c r="AX95" s="60"/>
      <c r="AY95" s="60"/>
      <c r="AZ95" s="60"/>
      <c r="BA95" s="60"/>
      <c r="BB95" s="60"/>
      <c r="BC95" s="60"/>
      <c r="BD95" s="60"/>
      <c r="BE95" s="60"/>
      <c r="BF95" s="60"/>
      <c r="BG95" s="60"/>
      <c r="BH95" s="60"/>
      <c r="BI95" s="60"/>
      <c r="BJ95" s="60"/>
      <c r="BK95" s="60"/>
      <c r="BL95" s="60"/>
      <c r="BM95" s="60"/>
      <c r="BN95" s="60"/>
    </row>
    <row r="96" spans="20:66" ht="15.75" x14ac:dyDescent="0.25">
      <c r="X96" s="120"/>
      <c r="Y96" s="60"/>
      <c r="Z96" s="60"/>
      <c r="AA96" s="60"/>
      <c r="AB96" s="60"/>
      <c r="AC96" s="60"/>
      <c r="AD96" s="60"/>
      <c r="AE96" s="60"/>
      <c r="AF96" s="60"/>
      <c r="AG96" s="60"/>
      <c r="AH96" s="60"/>
      <c r="AI96" s="60"/>
      <c r="AJ96" s="60"/>
      <c r="AK96" s="60"/>
      <c r="AL96" s="60"/>
      <c r="AM96" s="60"/>
      <c r="AN96" s="60"/>
      <c r="AO96" s="60"/>
      <c r="AP96" s="60"/>
      <c r="AQ96" s="60"/>
      <c r="AR96" s="60"/>
      <c r="AS96" s="60"/>
      <c r="AT96" s="60"/>
      <c r="AU96" s="60"/>
      <c r="AV96" s="60"/>
      <c r="AW96" s="60"/>
      <c r="AX96" s="60"/>
      <c r="AY96" s="60"/>
      <c r="AZ96" s="60"/>
      <c r="BA96" s="60"/>
      <c r="BB96" s="60"/>
      <c r="BC96" s="60"/>
      <c r="BD96" s="60"/>
      <c r="BE96" s="60"/>
      <c r="BF96" s="60"/>
      <c r="BG96" s="60"/>
      <c r="BH96" s="60"/>
      <c r="BI96" s="60"/>
      <c r="BJ96" s="60"/>
      <c r="BK96" s="60"/>
      <c r="BL96" s="60"/>
      <c r="BM96" s="60"/>
      <c r="BN96" s="60"/>
    </row>
    <row r="97" spans="20:66" ht="15.75" x14ac:dyDescent="0.25">
      <c r="X97" s="120"/>
      <c r="Y97" s="519"/>
      <c r="Z97" s="519"/>
      <c r="AA97" s="519"/>
      <c r="AB97" s="519"/>
      <c r="AC97" s="519"/>
      <c r="AD97" s="519"/>
      <c r="AE97" s="519"/>
      <c r="AF97" s="519"/>
      <c r="AG97" s="519"/>
      <c r="AH97" s="519"/>
      <c r="AI97" s="519"/>
      <c r="AJ97" s="519"/>
      <c r="AK97" s="519"/>
      <c r="AL97" s="519"/>
      <c r="AM97" s="519"/>
      <c r="AN97" s="519"/>
      <c r="AO97" s="519"/>
      <c r="AP97" s="519"/>
      <c r="AQ97" s="519"/>
      <c r="AR97" s="519"/>
      <c r="AS97" s="519"/>
      <c r="AT97" s="519"/>
      <c r="AU97" s="519"/>
      <c r="AV97" s="519"/>
      <c r="AW97" s="519"/>
      <c r="AX97" s="519"/>
      <c r="AY97" s="519"/>
      <c r="AZ97" s="519"/>
      <c r="BA97" s="519"/>
      <c r="BB97" s="519"/>
      <c r="BC97" s="519"/>
      <c r="BD97" s="519"/>
      <c r="BE97" s="519"/>
      <c r="BF97" s="519"/>
      <c r="BG97" s="519"/>
      <c r="BH97" s="519"/>
      <c r="BI97" s="519"/>
      <c r="BJ97" s="519"/>
      <c r="BK97" s="519"/>
      <c r="BL97" s="519"/>
      <c r="BM97" s="519"/>
      <c r="BN97" s="519"/>
    </row>
    <row r="98" spans="20:66" ht="15.75" x14ac:dyDescent="0.25">
      <c r="T98" s="166"/>
      <c r="U98" s="166"/>
      <c r="W98" s="124"/>
      <c r="X98" s="120"/>
      <c r="Y98" s="519"/>
      <c r="Z98" s="519"/>
      <c r="AA98" s="519"/>
      <c r="AB98" s="519"/>
      <c r="AC98" s="519"/>
      <c r="AD98" s="519"/>
      <c r="AE98" s="519"/>
      <c r="AF98" s="519"/>
      <c r="AG98" s="519"/>
      <c r="AH98" s="519"/>
      <c r="AI98" s="519"/>
      <c r="AJ98" s="519"/>
      <c r="AK98" s="519"/>
      <c r="AL98" s="519"/>
      <c r="AM98" s="519"/>
      <c r="AN98" s="519"/>
      <c r="AO98" s="519"/>
      <c r="AP98" s="519"/>
      <c r="AQ98" s="519"/>
      <c r="AR98" s="519"/>
      <c r="AS98" s="519"/>
      <c r="AT98" s="519"/>
      <c r="AU98" s="519"/>
      <c r="AV98" s="519"/>
      <c r="AW98" s="519"/>
      <c r="AX98" s="519"/>
      <c r="AY98" s="519"/>
      <c r="AZ98" s="519"/>
      <c r="BA98" s="519"/>
      <c r="BB98" s="519"/>
      <c r="BC98" s="519"/>
      <c r="BD98" s="519"/>
      <c r="BE98" s="519"/>
      <c r="BF98" s="519"/>
      <c r="BG98" s="519"/>
      <c r="BH98" s="519"/>
      <c r="BI98" s="519"/>
      <c r="BJ98" s="519"/>
      <c r="BK98" s="519"/>
      <c r="BL98" s="519"/>
      <c r="BM98" s="519"/>
      <c r="BN98" s="519"/>
    </row>
    <row r="99" spans="20:66" ht="15.75" x14ac:dyDescent="0.25">
      <c r="T99" s="166"/>
      <c r="U99" s="166"/>
      <c r="W99" s="124"/>
      <c r="X99" s="120"/>
      <c r="Y99" s="519"/>
      <c r="Z99" s="519"/>
      <c r="AA99" s="519"/>
      <c r="AB99" s="519"/>
      <c r="AC99" s="519"/>
      <c r="AD99" s="519"/>
      <c r="AE99" s="519"/>
      <c r="AF99" s="519"/>
      <c r="AG99" s="519"/>
      <c r="AH99" s="519"/>
      <c r="AI99" s="519"/>
      <c r="AJ99" s="519"/>
      <c r="AK99" s="519"/>
      <c r="AL99" s="519"/>
      <c r="AM99" s="519"/>
      <c r="AN99" s="519"/>
      <c r="AO99" s="519"/>
      <c r="AP99" s="519"/>
      <c r="AQ99" s="519"/>
      <c r="AR99" s="519"/>
      <c r="AS99" s="519"/>
      <c r="AT99" s="519"/>
      <c r="AU99" s="519"/>
      <c r="AV99" s="519"/>
      <c r="AW99" s="519"/>
      <c r="AX99" s="519"/>
      <c r="AY99" s="519"/>
      <c r="AZ99" s="519"/>
      <c r="BA99" s="519"/>
      <c r="BB99" s="519"/>
      <c r="BC99" s="519"/>
      <c r="BD99" s="519"/>
      <c r="BE99" s="519"/>
      <c r="BF99" s="519"/>
      <c r="BG99" s="519"/>
      <c r="BH99" s="519"/>
      <c r="BI99" s="519"/>
      <c r="BJ99" s="519"/>
      <c r="BK99" s="519"/>
      <c r="BL99" s="519"/>
      <c r="BM99" s="519"/>
      <c r="BN99" s="519"/>
    </row>
    <row r="100" spans="20:66" ht="15.75" x14ac:dyDescent="0.25">
      <c r="X100" s="120"/>
      <c r="Y100" s="60"/>
      <c r="Z100" s="60"/>
      <c r="AA100" s="60"/>
      <c r="AB100" s="60"/>
      <c r="AC100" s="60"/>
      <c r="AD100" s="60"/>
      <c r="AE100" s="60"/>
      <c r="AF100" s="60"/>
      <c r="AG100" s="60"/>
      <c r="AH100" s="60"/>
      <c r="AI100" s="60"/>
      <c r="AJ100" s="60"/>
      <c r="AK100" s="60"/>
      <c r="AL100" s="60"/>
      <c r="AM100" s="60"/>
      <c r="AN100" s="60"/>
      <c r="AO100" s="60"/>
      <c r="AP100" s="60"/>
      <c r="AQ100" s="60"/>
      <c r="AR100" s="60"/>
      <c r="AS100" s="60"/>
      <c r="AT100" s="60"/>
      <c r="AU100" s="60"/>
      <c r="AV100" s="60"/>
      <c r="AW100" s="60"/>
      <c r="AX100" s="60"/>
      <c r="AY100" s="60"/>
      <c r="AZ100" s="60"/>
      <c r="BA100" s="60"/>
      <c r="BB100" s="60"/>
      <c r="BC100" s="60"/>
      <c r="BD100" s="60"/>
      <c r="BE100" s="60"/>
      <c r="BF100" s="60"/>
      <c r="BG100" s="60"/>
      <c r="BH100" s="60"/>
      <c r="BI100" s="60"/>
      <c r="BJ100" s="60"/>
      <c r="BK100" s="60"/>
      <c r="BL100" s="60"/>
      <c r="BM100" s="60"/>
      <c r="BN100" s="60"/>
    </row>
    <row r="101" spans="20:66" ht="15.75" x14ac:dyDescent="0.25">
      <c r="X101" s="120"/>
      <c r="Y101" s="519"/>
      <c r="Z101" s="519"/>
      <c r="AA101" s="519"/>
      <c r="AB101" s="519"/>
      <c r="AC101" s="519"/>
      <c r="AD101" s="519"/>
      <c r="AE101" s="519"/>
      <c r="AF101" s="519"/>
      <c r="AG101" s="519"/>
      <c r="AH101" s="519"/>
      <c r="AI101" s="519"/>
      <c r="AJ101" s="519"/>
      <c r="AK101" s="519"/>
      <c r="AL101" s="519"/>
      <c r="AM101" s="519"/>
      <c r="AN101" s="519"/>
      <c r="AO101" s="519"/>
      <c r="AP101" s="519"/>
      <c r="AQ101" s="519"/>
      <c r="AR101" s="519"/>
      <c r="AS101" s="519"/>
      <c r="AT101" s="519"/>
      <c r="AU101" s="519"/>
      <c r="AV101" s="519"/>
      <c r="AW101" s="519"/>
      <c r="AX101" s="519"/>
      <c r="AY101" s="519"/>
      <c r="AZ101" s="519"/>
      <c r="BA101" s="519"/>
      <c r="BB101" s="519"/>
      <c r="BC101" s="519"/>
      <c r="BD101" s="519"/>
      <c r="BE101" s="519"/>
      <c r="BF101" s="519"/>
      <c r="BG101" s="519"/>
      <c r="BH101" s="519"/>
      <c r="BI101" s="519"/>
      <c r="BJ101" s="519"/>
      <c r="BK101" s="519"/>
      <c r="BL101" s="519"/>
      <c r="BM101" s="519"/>
      <c r="BN101" s="519"/>
    </row>
    <row r="102" spans="20:66" ht="15.75" x14ac:dyDescent="0.25">
      <c r="X102" s="120"/>
      <c r="Y102" s="519"/>
      <c r="Z102" s="519"/>
      <c r="AA102" s="519"/>
      <c r="AB102" s="519"/>
      <c r="AC102" s="519"/>
      <c r="AD102" s="519"/>
      <c r="AE102" s="519"/>
      <c r="AF102" s="519"/>
      <c r="AG102" s="519"/>
      <c r="AH102" s="519"/>
      <c r="AI102" s="519"/>
      <c r="AJ102" s="519"/>
      <c r="AK102" s="519"/>
      <c r="AL102" s="519"/>
      <c r="AM102" s="519"/>
      <c r="AN102" s="519"/>
      <c r="AO102" s="519"/>
      <c r="AP102" s="519"/>
      <c r="AQ102" s="519"/>
      <c r="AR102" s="519"/>
      <c r="AS102" s="519"/>
      <c r="AT102" s="519"/>
      <c r="AU102" s="519"/>
      <c r="AV102" s="519"/>
      <c r="AW102" s="519"/>
      <c r="AX102" s="519"/>
      <c r="AY102" s="519"/>
      <c r="AZ102" s="519"/>
      <c r="BA102" s="519"/>
      <c r="BB102" s="519"/>
      <c r="BC102" s="519"/>
      <c r="BD102" s="519"/>
      <c r="BE102" s="519"/>
      <c r="BF102" s="519"/>
      <c r="BG102" s="519"/>
      <c r="BH102" s="519"/>
      <c r="BI102" s="519"/>
      <c r="BJ102" s="519"/>
      <c r="BK102" s="519"/>
      <c r="BL102" s="519"/>
      <c r="BM102" s="519"/>
      <c r="BN102" s="519"/>
    </row>
    <row r="103" spans="20:66" ht="15.75" x14ac:dyDescent="0.25">
      <c r="X103" s="120"/>
      <c r="Y103" s="519"/>
      <c r="Z103" s="519"/>
      <c r="AA103" s="519"/>
      <c r="AB103" s="519"/>
      <c r="AC103" s="519"/>
      <c r="AD103" s="519"/>
      <c r="AE103" s="519"/>
      <c r="AF103" s="519"/>
      <c r="AG103" s="519"/>
      <c r="AH103" s="519"/>
      <c r="AI103" s="519"/>
      <c r="AJ103" s="519"/>
      <c r="AK103" s="519"/>
      <c r="AL103" s="519"/>
      <c r="AM103" s="519"/>
      <c r="AN103" s="519"/>
      <c r="AO103" s="519"/>
      <c r="AP103" s="519"/>
      <c r="AQ103" s="519"/>
      <c r="AR103" s="519"/>
      <c r="AS103" s="519"/>
      <c r="AT103" s="519"/>
      <c r="AU103" s="519"/>
      <c r="AV103" s="519"/>
      <c r="AW103" s="519"/>
      <c r="AX103" s="519"/>
      <c r="AY103" s="519"/>
      <c r="AZ103" s="519"/>
      <c r="BA103" s="519"/>
      <c r="BB103" s="519"/>
      <c r="BC103" s="519"/>
      <c r="BD103" s="519"/>
      <c r="BE103" s="519"/>
      <c r="BF103" s="519"/>
      <c r="BG103" s="519"/>
      <c r="BH103" s="519"/>
      <c r="BI103" s="519"/>
      <c r="BJ103" s="519"/>
      <c r="BK103" s="519"/>
      <c r="BL103" s="519"/>
      <c r="BM103" s="519"/>
      <c r="BN103" s="519"/>
    </row>
    <row r="104" spans="20:66" ht="15.75" x14ac:dyDescent="0.25">
      <c r="X104" s="120"/>
      <c r="Y104" s="519"/>
      <c r="Z104" s="519"/>
      <c r="AA104" s="519"/>
      <c r="AB104" s="519"/>
      <c r="AC104" s="519"/>
      <c r="AD104" s="519"/>
      <c r="AE104" s="519"/>
      <c r="AF104" s="519"/>
      <c r="AG104" s="519"/>
      <c r="AH104" s="519"/>
      <c r="AI104" s="519"/>
      <c r="AJ104" s="519"/>
      <c r="AK104" s="519"/>
      <c r="AL104" s="519"/>
      <c r="AM104" s="519"/>
      <c r="AN104" s="519"/>
      <c r="AO104" s="519"/>
      <c r="AP104" s="519"/>
      <c r="AQ104" s="519"/>
      <c r="AR104" s="519"/>
      <c r="AS104" s="519"/>
      <c r="AT104" s="519"/>
      <c r="AU104" s="519"/>
      <c r="AV104" s="519"/>
      <c r="AW104" s="519"/>
      <c r="AX104" s="519"/>
      <c r="AY104" s="519"/>
      <c r="AZ104" s="519"/>
      <c r="BA104" s="519"/>
      <c r="BB104" s="519"/>
      <c r="BC104" s="519"/>
      <c r="BD104" s="519"/>
      <c r="BE104" s="519"/>
      <c r="BF104" s="519"/>
      <c r="BG104" s="519"/>
      <c r="BH104" s="519"/>
      <c r="BI104" s="519"/>
      <c r="BJ104" s="519"/>
      <c r="BK104" s="519"/>
      <c r="BL104" s="519"/>
      <c r="BM104" s="519"/>
      <c r="BN104" s="519"/>
    </row>
    <row r="105" spans="20:66" ht="15.75" x14ac:dyDescent="0.25">
      <c r="X105" s="120"/>
      <c r="Y105" s="519"/>
      <c r="Z105" s="519"/>
      <c r="AA105" s="519"/>
      <c r="AB105" s="519"/>
      <c r="AC105" s="519"/>
      <c r="AD105" s="519"/>
      <c r="AE105" s="519"/>
      <c r="AF105" s="519"/>
      <c r="AG105" s="519"/>
      <c r="AH105" s="519"/>
      <c r="AI105" s="519"/>
      <c r="AJ105" s="519"/>
      <c r="AK105" s="519"/>
      <c r="AL105" s="519"/>
      <c r="AM105" s="519"/>
      <c r="AN105" s="519"/>
      <c r="AO105" s="519"/>
      <c r="AP105" s="519"/>
      <c r="AQ105" s="519"/>
      <c r="AR105" s="519"/>
      <c r="AS105" s="519"/>
      <c r="AT105" s="519"/>
      <c r="AU105" s="519"/>
      <c r="AV105" s="519"/>
      <c r="AW105" s="519"/>
      <c r="AX105" s="519"/>
      <c r="AY105" s="519"/>
      <c r="AZ105" s="519"/>
      <c r="BA105" s="519"/>
      <c r="BB105" s="519"/>
      <c r="BC105" s="519"/>
      <c r="BD105" s="519"/>
      <c r="BE105" s="519"/>
      <c r="BF105" s="519"/>
      <c r="BG105" s="519"/>
      <c r="BH105" s="519"/>
      <c r="BI105" s="519"/>
      <c r="BJ105" s="519"/>
      <c r="BK105" s="519"/>
      <c r="BL105" s="519"/>
      <c r="BM105" s="519"/>
      <c r="BN105" s="519"/>
    </row>
    <row r="106" spans="20:66" ht="15.75" x14ac:dyDescent="0.25">
      <c r="X106" s="120"/>
      <c r="Y106" s="519"/>
      <c r="Z106" s="519"/>
      <c r="AA106" s="519"/>
      <c r="AB106" s="519"/>
      <c r="AC106" s="519"/>
      <c r="AD106" s="519"/>
      <c r="AE106" s="519"/>
      <c r="AF106" s="519"/>
      <c r="AG106" s="519"/>
      <c r="AH106" s="519"/>
      <c r="AI106" s="519"/>
      <c r="AJ106" s="519"/>
      <c r="AK106" s="519"/>
      <c r="AL106" s="519"/>
      <c r="AM106" s="519"/>
      <c r="AN106" s="519"/>
      <c r="AO106" s="519"/>
      <c r="AP106" s="519"/>
      <c r="AQ106" s="519"/>
      <c r="AR106" s="519"/>
      <c r="AS106" s="519"/>
      <c r="AT106" s="519"/>
      <c r="AU106" s="519"/>
      <c r="AV106" s="519"/>
      <c r="AW106" s="519"/>
      <c r="AX106" s="519"/>
      <c r="AY106" s="519"/>
      <c r="AZ106" s="519"/>
      <c r="BA106" s="519"/>
      <c r="BB106" s="519"/>
      <c r="BC106" s="519"/>
      <c r="BD106" s="519"/>
      <c r="BE106" s="519"/>
      <c r="BF106" s="519"/>
      <c r="BG106" s="519"/>
      <c r="BH106" s="519"/>
      <c r="BI106" s="519"/>
      <c r="BJ106" s="519"/>
      <c r="BK106" s="519"/>
      <c r="BL106" s="519"/>
      <c r="BM106" s="519"/>
      <c r="BN106" s="519"/>
    </row>
    <row r="107" spans="20:66" ht="15.75" x14ac:dyDescent="0.25">
      <c r="X107" s="120"/>
      <c r="Y107" s="519"/>
      <c r="Z107" s="519"/>
      <c r="AA107" s="519"/>
      <c r="AB107" s="519"/>
      <c r="AC107" s="519"/>
      <c r="AD107" s="519"/>
      <c r="AE107" s="519"/>
      <c r="AF107" s="519"/>
      <c r="AG107" s="519"/>
      <c r="AH107" s="519"/>
      <c r="AI107" s="519"/>
      <c r="AJ107" s="519"/>
      <c r="AK107" s="519"/>
      <c r="AL107" s="519"/>
      <c r="AM107" s="519"/>
      <c r="AN107" s="519"/>
      <c r="AO107" s="519"/>
      <c r="AP107" s="519"/>
      <c r="AQ107" s="519"/>
      <c r="AR107" s="519"/>
      <c r="AS107" s="519"/>
      <c r="AT107" s="519"/>
      <c r="AU107" s="519"/>
      <c r="AV107" s="519"/>
      <c r="AW107" s="519"/>
      <c r="AX107" s="519"/>
      <c r="AY107" s="519"/>
      <c r="AZ107" s="519"/>
      <c r="BA107" s="519"/>
      <c r="BB107" s="519"/>
      <c r="BC107" s="519"/>
      <c r="BD107" s="519"/>
      <c r="BE107" s="519"/>
      <c r="BF107" s="519"/>
      <c r="BG107" s="519"/>
      <c r="BH107" s="519"/>
      <c r="BI107" s="519"/>
      <c r="BJ107" s="519"/>
      <c r="BK107" s="519"/>
      <c r="BL107" s="519"/>
      <c r="BM107" s="519"/>
      <c r="BN107" s="519"/>
    </row>
    <row r="108" spans="20:66" ht="15.75" x14ac:dyDescent="0.25">
      <c r="X108" s="120"/>
      <c r="Y108" s="519"/>
      <c r="Z108" s="519"/>
      <c r="AA108" s="519"/>
      <c r="AB108" s="519"/>
      <c r="AC108" s="519"/>
      <c r="AD108" s="519"/>
      <c r="AE108" s="519"/>
      <c r="AF108" s="519"/>
      <c r="AG108" s="519"/>
      <c r="AH108" s="519"/>
      <c r="AI108" s="519"/>
      <c r="AJ108" s="519"/>
      <c r="AK108" s="519"/>
      <c r="AL108" s="519"/>
      <c r="AM108" s="519"/>
      <c r="AN108" s="519"/>
      <c r="AO108" s="519"/>
      <c r="AP108" s="519"/>
      <c r="AQ108" s="519"/>
      <c r="AR108" s="519"/>
      <c r="AS108" s="519"/>
      <c r="AT108" s="519"/>
      <c r="AU108" s="519"/>
      <c r="AV108" s="519"/>
      <c r="AW108" s="519"/>
      <c r="AX108" s="519"/>
      <c r="AY108" s="519"/>
      <c r="AZ108" s="519"/>
      <c r="BA108" s="519"/>
      <c r="BB108" s="519"/>
      <c r="BC108" s="519"/>
      <c r="BD108" s="519"/>
      <c r="BE108" s="519"/>
      <c r="BF108" s="519"/>
      <c r="BG108" s="519"/>
      <c r="BH108" s="519"/>
      <c r="BI108" s="519"/>
      <c r="BJ108" s="519"/>
      <c r="BK108" s="519"/>
      <c r="BL108" s="519"/>
      <c r="BM108" s="519"/>
      <c r="BN108" s="519"/>
    </row>
    <row r="109" spans="20:66" ht="15.75" x14ac:dyDescent="0.25">
      <c r="X109" s="120"/>
      <c r="Y109" s="519"/>
      <c r="Z109" s="519"/>
      <c r="AA109" s="519"/>
      <c r="AB109" s="519"/>
      <c r="AC109" s="519"/>
      <c r="AD109" s="519"/>
      <c r="AE109" s="519"/>
      <c r="AF109" s="519"/>
      <c r="AG109" s="519"/>
      <c r="AH109" s="519"/>
      <c r="AI109" s="519"/>
      <c r="AJ109" s="519"/>
      <c r="AK109" s="519"/>
      <c r="AL109" s="519"/>
      <c r="AM109" s="519"/>
      <c r="AN109" s="519"/>
      <c r="AO109" s="519"/>
      <c r="AP109" s="519"/>
      <c r="AQ109" s="519"/>
      <c r="AR109" s="519"/>
      <c r="AS109" s="519"/>
      <c r="AT109" s="519"/>
      <c r="AU109" s="519"/>
      <c r="AV109" s="519"/>
      <c r="AW109" s="519"/>
      <c r="AX109" s="519"/>
      <c r="AY109" s="519"/>
      <c r="AZ109" s="519"/>
      <c r="BA109" s="519"/>
      <c r="BB109" s="519"/>
      <c r="BC109" s="519"/>
      <c r="BD109" s="519"/>
      <c r="BE109" s="519"/>
      <c r="BF109" s="519"/>
      <c r="BG109" s="519"/>
      <c r="BH109" s="519"/>
      <c r="BI109" s="519"/>
      <c r="BJ109" s="519"/>
      <c r="BK109" s="519"/>
      <c r="BL109" s="519"/>
      <c r="BM109" s="519"/>
      <c r="BN109" s="519"/>
    </row>
    <row r="110" spans="20:66" ht="15.75" x14ac:dyDescent="0.25">
      <c r="X110" s="120"/>
      <c r="Y110" s="519"/>
      <c r="Z110" s="519"/>
      <c r="AA110" s="519"/>
      <c r="AB110" s="519"/>
      <c r="AC110" s="519"/>
      <c r="AD110" s="519"/>
      <c r="AE110" s="519"/>
      <c r="AF110" s="519"/>
      <c r="AG110" s="519"/>
      <c r="AH110" s="519"/>
      <c r="AI110" s="519"/>
      <c r="AJ110" s="519"/>
      <c r="AK110" s="519"/>
      <c r="AL110" s="519"/>
      <c r="AM110" s="519"/>
      <c r="AN110" s="519"/>
      <c r="AO110" s="519"/>
      <c r="AP110" s="519"/>
      <c r="AQ110" s="519"/>
      <c r="AR110" s="519"/>
      <c r="AS110" s="519"/>
      <c r="AT110" s="519"/>
      <c r="AU110" s="519"/>
      <c r="AV110" s="519"/>
      <c r="AW110" s="519"/>
      <c r="AX110" s="519"/>
      <c r="AY110" s="519"/>
      <c r="AZ110" s="519"/>
      <c r="BA110" s="519"/>
      <c r="BB110" s="519"/>
      <c r="BC110" s="519"/>
      <c r="BD110" s="519"/>
      <c r="BE110" s="519"/>
      <c r="BF110" s="519"/>
      <c r="BG110" s="519"/>
      <c r="BH110" s="519"/>
      <c r="BI110" s="519"/>
      <c r="BJ110" s="519"/>
      <c r="BK110" s="519"/>
      <c r="BL110" s="519"/>
      <c r="BM110" s="519"/>
      <c r="BN110" s="519"/>
    </row>
    <row r="111" spans="20:66" ht="15.75" x14ac:dyDescent="0.25">
      <c r="X111" s="120"/>
      <c r="Y111" s="519"/>
      <c r="Z111" s="519"/>
      <c r="AA111" s="519"/>
      <c r="AB111" s="519"/>
      <c r="AC111" s="519"/>
      <c r="AD111" s="519"/>
      <c r="AE111" s="519"/>
      <c r="AF111" s="519"/>
      <c r="AG111" s="519"/>
      <c r="AH111" s="519"/>
      <c r="AI111" s="519"/>
      <c r="AJ111" s="519"/>
      <c r="AK111" s="519"/>
      <c r="AL111" s="519"/>
      <c r="AM111" s="519"/>
      <c r="AN111" s="519"/>
      <c r="AO111" s="519"/>
      <c r="AP111" s="519"/>
      <c r="AQ111" s="519"/>
      <c r="AR111" s="519"/>
      <c r="AS111" s="519"/>
      <c r="AT111" s="519"/>
      <c r="AU111" s="519"/>
      <c r="AV111" s="519"/>
      <c r="AW111" s="519"/>
      <c r="AX111" s="519"/>
      <c r="AY111" s="519"/>
      <c r="AZ111" s="519"/>
      <c r="BA111" s="519"/>
      <c r="BB111" s="519"/>
      <c r="BC111" s="519"/>
      <c r="BD111" s="519"/>
      <c r="BE111" s="519"/>
      <c r="BF111" s="519"/>
      <c r="BG111" s="519"/>
      <c r="BH111" s="519"/>
      <c r="BI111" s="519"/>
      <c r="BJ111" s="519"/>
      <c r="BK111" s="519"/>
      <c r="BL111" s="519"/>
      <c r="BM111" s="519"/>
      <c r="BN111" s="519"/>
    </row>
    <row r="112" spans="20:66" ht="15.75" x14ac:dyDescent="0.25">
      <c r="X112" s="120"/>
      <c r="Y112" s="519"/>
      <c r="Z112" s="519"/>
      <c r="AA112" s="519"/>
      <c r="AB112" s="519"/>
      <c r="AC112" s="519"/>
      <c r="AD112" s="519"/>
      <c r="AE112" s="519"/>
      <c r="AF112" s="519"/>
      <c r="AG112" s="519"/>
      <c r="AH112" s="519"/>
      <c r="AI112" s="519"/>
      <c r="AJ112" s="519"/>
      <c r="AK112" s="519"/>
      <c r="AL112" s="519"/>
      <c r="AM112" s="519"/>
      <c r="AN112" s="519"/>
      <c r="AO112" s="519"/>
      <c r="AP112" s="519"/>
      <c r="AQ112" s="519"/>
      <c r="AR112" s="519"/>
      <c r="AS112" s="519"/>
      <c r="AT112" s="519"/>
      <c r="AU112" s="519"/>
      <c r="AV112" s="519"/>
      <c r="AW112" s="519"/>
      <c r="AX112" s="519"/>
      <c r="AY112" s="519"/>
      <c r="AZ112" s="519"/>
      <c r="BA112" s="519"/>
      <c r="BB112" s="519"/>
      <c r="BC112" s="519"/>
      <c r="BD112" s="519"/>
      <c r="BE112" s="519"/>
      <c r="BF112" s="519"/>
      <c r="BG112" s="519"/>
      <c r="BH112" s="519"/>
      <c r="BI112" s="519"/>
      <c r="BJ112" s="519"/>
      <c r="BK112" s="519"/>
      <c r="BL112" s="519"/>
      <c r="BM112" s="519"/>
      <c r="BN112" s="519"/>
    </row>
    <row r="113" spans="24:66" ht="15.75" x14ac:dyDescent="0.25">
      <c r="X113" s="120"/>
      <c r="Y113" s="519"/>
      <c r="Z113" s="519"/>
      <c r="AA113" s="519"/>
      <c r="AB113" s="519"/>
      <c r="AC113" s="519"/>
      <c r="AD113" s="519"/>
      <c r="AE113" s="519"/>
      <c r="AF113" s="519"/>
      <c r="AG113" s="519"/>
      <c r="AH113" s="519"/>
      <c r="AI113" s="519"/>
      <c r="AJ113" s="519"/>
      <c r="AK113" s="519"/>
      <c r="AL113" s="519"/>
      <c r="AM113" s="519"/>
      <c r="AN113" s="519"/>
      <c r="AO113" s="519"/>
      <c r="AP113" s="519"/>
      <c r="AQ113" s="519"/>
      <c r="AR113" s="519"/>
      <c r="AS113" s="519"/>
      <c r="AT113" s="519"/>
      <c r="AU113" s="519"/>
      <c r="AV113" s="519"/>
      <c r="AW113" s="519"/>
      <c r="AX113" s="519"/>
      <c r="AY113" s="519"/>
      <c r="AZ113" s="519"/>
      <c r="BA113" s="519"/>
      <c r="BB113" s="519"/>
      <c r="BC113" s="519"/>
      <c r="BD113" s="519"/>
      <c r="BE113" s="519"/>
      <c r="BF113" s="519"/>
      <c r="BG113" s="519"/>
      <c r="BH113" s="519"/>
      <c r="BI113" s="519"/>
      <c r="BJ113" s="519"/>
      <c r="BK113" s="519"/>
      <c r="BL113" s="519"/>
      <c r="BM113" s="519"/>
      <c r="BN113" s="519"/>
    </row>
  </sheetData>
  <sheetProtection sheet="1" formatCells="0" formatColumns="0" formatRows="0" selectLockedCells="1"/>
  <mergeCells count="34">
    <mergeCell ref="W52:X52"/>
    <mergeCell ref="AA6:AF6"/>
    <mergeCell ref="AH6:AM6"/>
    <mergeCell ref="AO6:AT6"/>
    <mergeCell ref="AV6:BA6"/>
    <mergeCell ref="H1:I1"/>
    <mergeCell ref="H2:I2"/>
    <mergeCell ref="A4:P4"/>
    <mergeCell ref="A5:P5"/>
    <mergeCell ref="A6:A7"/>
    <mergeCell ref="B6:B7"/>
    <mergeCell ref="C6:C7"/>
    <mergeCell ref="D6:F6"/>
    <mergeCell ref="G6:I6"/>
    <mergeCell ref="J6:J7"/>
    <mergeCell ref="K6:K7"/>
    <mergeCell ref="L6:L7"/>
    <mergeCell ref="M6:N6"/>
    <mergeCell ref="O6:P6"/>
    <mergeCell ref="A36:B38"/>
    <mergeCell ref="C36:P38"/>
    <mergeCell ref="A40:B43"/>
    <mergeCell ref="C40:P42"/>
    <mergeCell ref="C43:P43"/>
    <mergeCell ref="N33:N34"/>
    <mergeCell ref="P33:P34"/>
    <mergeCell ref="BC5:BG6"/>
    <mergeCell ref="BI5:BM6"/>
    <mergeCell ref="R4:BA4"/>
    <mergeCell ref="R5:BA5"/>
    <mergeCell ref="R6:R7"/>
    <mergeCell ref="T6:Y6"/>
    <mergeCell ref="S6:S7"/>
    <mergeCell ref="BC2:BM4"/>
  </mergeCells>
  <dataValidations count="2">
    <dataValidation type="list" allowBlank="1" sqref="J8:J31" xr:uid="{00000000-0002-0000-0700-000000000000}">
      <formula1>"0,10,20,30,40,50,60,70,80,90,Reinbestand"</formula1>
    </dataValidation>
    <dataValidation type="list" allowBlank="1" sqref="C8:C31" xr:uid="{00000000-0002-0000-0700-000001000000}">
      <formula1>BO$7:BO$21</formula1>
    </dataValidation>
  </dataValidations>
  <pageMargins left="0.31496062992125984" right="0.31496062992125984" top="0.31496062992125984" bottom="0.15748031496062992" header="0.31496062992125984" footer="0.31496062992125984"/>
  <pageSetup paperSize="9" scale="61" fitToHeight="0" orientation="landscape" r:id="rId1"/>
  <rowBreaks count="1" manualBreakCount="1">
    <brk id="32" max="52" man="1"/>
  </rowBreaks>
  <colBreaks count="1" manualBreakCount="1">
    <brk id="16" max="31"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2000000}">
          <x14:formula1>
            <xm:f>Düngemittel!$B$6:$B$64</xm:f>
          </x14:formula1>
          <xm:sqref>AB8:AB31 AP8:AP31 AW8:AW31 AI8:AI31 U8:U31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BX113"/>
  <sheetViews>
    <sheetView topLeftCell="D1" zoomScale="90" zoomScaleNormal="90" zoomScalePageLayoutView="60" workbookViewId="0">
      <selection activeCell="AB14" sqref="AB14"/>
    </sheetView>
  </sheetViews>
  <sheetFormatPr baseColWidth="10" defaultRowHeight="15" x14ac:dyDescent="0.25"/>
  <cols>
    <col min="1" max="1" width="19.5703125" style="112" customWidth="1"/>
    <col min="2" max="2" width="12.5703125" style="80" customWidth="1"/>
    <col min="3" max="3" width="42.7109375" style="80" customWidth="1"/>
    <col min="4" max="4" width="10.42578125" style="112" customWidth="1"/>
    <col min="5" max="5" width="11" style="80" customWidth="1"/>
    <col min="6" max="6" width="11.140625" style="80" customWidth="1"/>
    <col min="7" max="7" width="8.42578125" style="80" customWidth="1"/>
    <col min="8" max="8" width="10.140625" style="80" customWidth="1"/>
    <col min="9" max="9" width="13.42578125" style="80" customWidth="1"/>
    <col min="10" max="10" width="17.42578125" style="80" customWidth="1"/>
    <col min="11" max="11" width="6.28515625" style="80" customWidth="1"/>
    <col min="12" max="12" width="16.140625" style="80" customWidth="1"/>
    <col min="13" max="13" width="10.85546875" style="112" customWidth="1"/>
    <col min="14" max="14" width="12.7109375" style="241" customWidth="1"/>
    <col min="15" max="15" width="10.85546875" style="80" customWidth="1"/>
    <col min="16" max="16" width="11.7109375" style="80" customWidth="1"/>
    <col min="17" max="17" width="2.5703125" style="80" customWidth="1"/>
    <col min="18" max="18" width="15" style="80" customWidth="1"/>
    <col min="19" max="19" width="11.42578125" style="80" customWidth="1"/>
    <col min="20" max="20" width="9.5703125" style="80" customWidth="1"/>
    <col min="21" max="21" width="13.140625" style="80" customWidth="1"/>
    <col min="22" max="22" width="7.28515625" style="80" customWidth="1"/>
    <col min="23" max="25" width="7.140625" style="80" customWidth="1"/>
    <col min="26" max="26" width="1.28515625" style="80" customWidth="1"/>
    <col min="27" max="27" width="9.42578125" style="80" customWidth="1"/>
    <col min="28" max="28" width="13.140625" style="80" customWidth="1"/>
    <col min="29" max="32" width="7.28515625" style="80" customWidth="1"/>
    <col min="33" max="33" width="1.5703125" style="80" customWidth="1"/>
    <col min="34" max="34" width="9.5703125" style="80" customWidth="1"/>
    <col min="35" max="35" width="13.140625" style="80" customWidth="1"/>
    <col min="36" max="36" width="7.28515625" style="80" customWidth="1"/>
    <col min="37" max="39" width="7.140625" style="80" customWidth="1"/>
    <col min="40" max="40" width="1.85546875" style="80" customWidth="1"/>
    <col min="41" max="46" width="3" style="80" customWidth="1"/>
    <col min="47" max="47" width="1.5703125" style="80" customWidth="1"/>
    <col min="48" max="54" width="2.5703125" style="80" customWidth="1"/>
    <col min="55" max="55" width="7.28515625" style="80" customWidth="1"/>
    <col min="56" max="57" width="7.140625" style="80" customWidth="1"/>
    <col min="58" max="58" width="9.140625" style="80" customWidth="1"/>
    <col min="59" max="59" width="7.5703125" style="80" customWidth="1"/>
    <col min="60" max="60" width="2.140625" style="80" customWidth="1"/>
    <col min="61" max="61" width="7.28515625" style="80" customWidth="1"/>
    <col min="62" max="63" width="7.140625" style="80" customWidth="1"/>
    <col min="64" max="64" width="8.85546875" style="80" customWidth="1"/>
    <col min="65" max="65" width="8" style="80" customWidth="1"/>
    <col min="66" max="66" width="5.7109375" style="80" customWidth="1"/>
    <col min="67" max="67" width="50.7109375" style="80" customWidth="1"/>
    <col min="68" max="68" width="10" style="80" customWidth="1"/>
    <col min="69" max="69" width="11.7109375" style="80" customWidth="1"/>
    <col min="70" max="70" width="12" style="80" customWidth="1"/>
    <col min="71" max="71" width="27.5703125" style="80" customWidth="1"/>
    <col min="72" max="16384" width="11.42578125" style="80"/>
  </cols>
  <sheetData>
    <row r="1" spans="1:76" ht="15.75" customHeight="1" x14ac:dyDescent="0.25">
      <c r="A1" s="1370" t="s">
        <v>1156</v>
      </c>
      <c r="B1" s="1371"/>
      <c r="C1" s="396" t="str">
        <f>'DüV-N-Ackerbau (1)'!C1</f>
        <v>Testbetrieb</v>
      </c>
      <c r="D1" s="396"/>
      <c r="E1" s="396" t="str">
        <f>'DüV-N-Ackerbau (1)'!F1</f>
        <v>Erntejahr</v>
      </c>
      <c r="F1" s="374"/>
      <c r="G1" s="448"/>
      <c r="H1" s="1352" t="s">
        <v>34</v>
      </c>
      <c r="I1" s="1353"/>
      <c r="J1" s="448"/>
      <c r="K1" s="448"/>
      <c r="L1" s="448"/>
      <c r="M1" s="1372" t="s">
        <v>1157</v>
      </c>
      <c r="N1" s="1372"/>
      <c r="O1" s="448"/>
      <c r="P1" s="449"/>
      <c r="R1" s="1370" t="s">
        <v>1156</v>
      </c>
      <c r="S1" s="1414"/>
      <c r="T1" s="1459" t="s">
        <v>1206</v>
      </c>
      <c r="U1" s="1460"/>
      <c r="V1" s="1460"/>
      <c r="W1" s="1460"/>
      <c r="X1" s="1460"/>
      <c r="Y1" s="1460"/>
      <c r="Z1" s="1460"/>
      <c r="AA1" s="1460"/>
      <c r="AB1" s="1460"/>
      <c r="AC1" s="1460"/>
      <c r="AD1" s="1460"/>
      <c r="AE1" s="1460"/>
      <c r="AF1" s="1460"/>
      <c r="AG1" s="1460"/>
      <c r="AH1" s="1460"/>
      <c r="AI1" s="1460"/>
      <c r="AJ1" s="1460"/>
      <c r="AK1" s="1460"/>
      <c r="AL1" s="1460"/>
      <c r="AM1" s="1460"/>
      <c r="AN1" s="1460"/>
      <c r="AO1" s="1460"/>
      <c r="AP1" s="1460"/>
      <c r="AQ1" s="1460"/>
      <c r="AR1" s="1460"/>
      <c r="AS1" s="1460"/>
      <c r="AT1" s="1460"/>
      <c r="AU1" s="1460"/>
      <c r="AV1" s="1460"/>
      <c r="AW1" s="1460"/>
      <c r="AX1" s="1460"/>
      <c r="AY1" s="1460"/>
      <c r="AZ1" s="1460"/>
      <c r="BA1" s="1461"/>
      <c r="BC1" s="1378" t="s">
        <v>1170</v>
      </c>
      <c r="BD1" s="1379"/>
      <c r="BE1" s="1379"/>
      <c r="BF1" s="1379"/>
      <c r="BG1" s="1379"/>
      <c r="BH1" s="1379"/>
      <c r="BI1" s="1379"/>
      <c r="BJ1" s="1379"/>
      <c r="BK1" s="1379"/>
      <c r="BL1" s="1379"/>
      <c r="BM1" s="1380"/>
    </row>
    <row r="2" spans="1:76" ht="24.75" customHeight="1" x14ac:dyDescent="0.25">
      <c r="A2" s="1371"/>
      <c r="B2" s="1371"/>
      <c r="C2" s="112">
        <f>'DüV-N-Ackerbau (1)'!C2</f>
        <v>1</v>
      </c>
      <c r="D2" s="15"/>
      <c r="E2" s="112">
        <f>'DüV-N-Ackerbau (1)'!G1</f>
        <v>2022</v>
      </c>
      <c r="F2" s="15"/>
      <c r="G2" s="112"/>
      <c r="H2" s="1356" t="s">
        <v>36</v>
      </c>
      <c r="I2" s="1336"/>
      <c r="M2" s="1372"/>
      <c r="N2" s="1372"/>
      <c r="P2" s="503"/>
      <c r="R2" s="1371"/>
      <c r="S2" s="1414"/>
      <c r="T2" s="1462"/>
      <c r="U2" s="1463"/>
      <c r="V2" s="1463"/>
      <c r="W2" s="1463"/>
      <c r="X2" s="1463"/>
      <c r="Y2" s="1463"/>
      <c r="Z2" s="1463"/>
      <c r="AA2" s="1463"/>
      <c r="AB2" s="1463"/>
      <c r="AC2" s="1463"/>
      <c r="AD2" s="1463"/>
      <c r="AE2" s="1463"/>
      <c r="AF2" s="1463"/>
      <c r="AG2" s="1463"/>
      <c r="AH2" s="1463"/>
      <c r="AI2" s="1463"/>
      <c r="AJ2" s="1463"/>
      <c r="AK2" s="1463"/>
      <c r="AL2" s="1463"/>
      <c r="AM2" s="1463"/>
      <c r="AN2" s="1463"/>
      <c r="AO2" s="1463"/>
      <c r="AP2" s="1463"/>
      <c r="AQ2" s="1463"/>
      <c r="AR2" s="1463"/>
      <c r="AS2" s="1463"/>
      <c r="AT2" s="1463"/>
      <c r="AU2" s="1463"/>
      <c r="AV2" s="1463"/>
      <c r="AW2" s="1463"/>
      <c r="AX2" s="1463"/>
      <c r="AY2" s="1463"/>
      <c r="AZ2" s="1463"/>
      <c r="BA2" s="1464"/>
      <c r="BC2" s="1343"/>
      <c r="BD2" s="1293"/>
      <c r="BE2" s="1293"/>
      <c r="BF2" s="1293"/>
      <c r="BG2" s="1293"/>
      <c r="BH2" s="1293"/>
      <c r="BI2" s="1293"/>
      <c r="BJ2" s="1293"/>
      <c r="BK2" s="1293"/>
      <c r="BL2" s="1293"/>
      <c r="BM2" s="1344"/>
    </row>
    <row r="3" spans="1:76" ht="24.75" customHeight="1" thickBot="1" x14ac:dyDescent="0.3">
      <c r="A3" s="1371"/>
      <c r="B3" s="1371"/>
      <c r="C3" s="795">
        <f>'DüV-N-Ackerbau (1)'!C3</f>
        <v>123456</v>
      </c>
      <c r="D3" s="794"/>
      <c r="E3" s="794"/>
      <c r="F3" s="794"/>
      <c r="G3" s="371"/>
      <c r="H3" s="371"/>
      <c r="I3" s="371"/>
      <c r="J3" s="371"/>
      <c r="K3" s="371"/>
      <c r="L3" s="783"/>
      <c r="M3" s="1372"/>
      <c r="N3" s="1372"/>
      <c r="O3" s="796"/>
      <c r="P3" s="797"/>
      <c r="Q3" s="124"/>
      <c r="R3" s="1371"/>
      <c r="S3" s="1414"/>
      <c r="T3" s="1465"/>
      <c r="U3" s="1466"/>
      <c r="V3" s="1466"/>
      <c r="W3" s="1466"/>
      <c r="X3" s="1466"/>
      <c r="Y3" s="1466"/>
      <c r="Z3" s="1466"/>
      <c r="AA3" s="1466"/>
      <c r="AB3" s="1466"/>
      <c r="AC3" s="1466"/>
      <c r="AD3" s="1466"/>
      <c r="AE3" s="1466"/>
      <c r="AF3" s="1466"/>
      <c r="AG3" s="1466"/>
      <c r="AH3" s="1466"/>
      <c r="AI3" s="1466"/>
      <c r="AJ3" s="1466"/>
      <c r="AK3" s="1466"/>
      <c r="AL3" s="1466"/>
      <c r="AM3" s="1466"/>
      <c r="AN3" s="1466"/>
      <c r="AO3" s="1466"/>
      <c r="AP3" s="1466"/>
      <c r="AQ3" s="1466"/>
      <c r="AR3" s="1466"/>
      <c r="AS3" s="1466"/>
      <c r="AT3" s="1466"/>
      <c r="AU3" s="1466"/>
      <c r="AV3" s="1466"/>
      <c r="AW3" s="1466"/>
      <c r="AX3" s="1466"/>
      <c r="AY3" s="1466"/>
      <c r="AZ3" s="1466"/>
      <c r="BA3" s="1467"/>
      <c r="BC3" s="1343"/>
      <c r="BD3" s="1293"/>
      <c r="BE3" s="1293"/>
      <c r="BF3" s="1293"/>
      <c r="BG3" s="1293"/>
      <c r="BH3" s="1293"/>
      <c r="BI3" s="1293"/>
      <c r="BJ3" s="1293"/>
      <c r="BK3" s="1293"/>
      <c r="BL3" s="1293"/>
      <c r="BM3" s="1344"/>
    </row>
    <row r="4" spans="1:76" ht="28.5" customHeight="1" thickBot="1" x14ac:dyDescent="0.3">
      <c r="A4" s="1397" t="s">
        <v>1238</v>
      </c>
      <c r="B4" s="1398"/>
      <c r="C4" s="1398"/>
      <c r="D4" s="1398"/>
      <c r="E4" s="1398"/>
      <c r="F4" s="1398"/>
      <c r="G4" s="1398"/>
      <c r="H4" s="1398"/>
      <c r="I4" s="1398"/>
      <c r="J4" s="1398"/>
      <c r="K4" s="1398"/>
      <c r="L4" s="1398"/>
      <c r="M4" s="1398"/>
      <c r="N4" s="1398"/>
      <c r="O4" s="1399"/>
      <c r="P4" s="1400"/>
      <c r="R4" s="1453" t="s">
        <v>1164</v>
      </c>
      <c r="S4" s="1454"/>
      <c r="T4" s="1454"/>
      <c r="U4" s="1454"/>
      <c r="V4" s="1454"/>
      <c r="W4" s="1454"/>
      <c r="X4" s="1454"/>
      <c r="Y4" s="1454"/>
      <c r="Z4" s="1454"/>
      <c r="AA4" s="1454"/>
      <c r="AB4" s="1454"/>
      <c r="AC4" s="1454"/>
      <c r="AD4" s="1454"/>
      <c r="AE4" s="1454"/>
      <c r="AF4" s="1454"/>
      <c r="AG4" s="1454"/>
      <c r="AH4" s="1454"/>
      <c r="AI4" s="1454"/>
      <c r="AJ4" s="1454"/>
      <c r="AK4" s="1454"/>
      <c r="AL4" s="1454"/>
      <c r="AM4" s="1454"/>
      <c r="AN4" s="1454"/>
      <c r="AO4" s="1454"/>
      <c r="AP4" s="1454"/>
      <c r="AQ4" s="1454"/>
      <c r="AR4" s="1454"/>
      <c r="AS4" s="1454"/>
      <c r="AT4" s="1454"/>
      <c r="AU4" s="1454"/>
      <c r="AV4" s="1454"/>
      <c r="AW4" s="1454"/>
      <c r="AX4" s="1454"/>
      <c r="AY4" s="1454"/>
      <c r="AZ4" s="1454"/>
      <c r="BA4" s="1455"/>
      <c r="BC4" s="1345"/>
      <c r="BD4" s="1381"/>
      <c r="BE4" s="1381"/>
      <c r="BF4" s="1381"/>
      <c r="BG4" s="1381"/>
      <c r="BH4" s="1381"/>
      <c r="BI4" s="1381"/>
      <c r="BJ4" s="1381"/>
      <c r="BK4" s="1381"/>
      <c r="BL4" s="1381"/>
      <c r="BM4" s="1346"/>
    </row>
    <row r="5" spans="1:76" ht="15" customHeight="1" thickBot="1" x14ac:dyDescent="0.3">
      <c r="A5" s="1308" t="s">
        <v>1165</v>
      </c>
      <c r="B5" s="1401"/>
      <c r="C5" s="1401"/>
      <c r="D5" s="1401"/>
      <c r="E5" s="1401"/>
      <c r="F5" s="1401"/>
      <c r="G5" s="1401"/>
      <c r="H5" s="1401"/>
      <c r="I5" s="1401"/>
      <c r="J5" s="1401"/>
      <c r="K5" s="1401"/>
      <c r="L5" s="1401"/>
      <c r="M5" s="1401"/>
      <c r="N5" s="1401"/>
      <c r="O5" s="1401"/>
      <c r="P5" s="1309"/>
      <c r="Q5" s="400"/>
      <c r="R5" s="1456" t="s">
        <v>1033</v>
      </c>
      <c r="S5" s="1457"/>
      <c r="T5" s="1457"/>
      <c r="U5" s="1457"/>
      <c r="V5" s="1457"/>
      <c r="W5" s="1457"/>
      <c r="X5" s="1457"/>
      <c r="Y5" s="1457"/>
      <c r="Z5" s="1457"/>
      <c r="AA5" s="1457"/>
      <c r="AB5" s="1457"/>
      <c r="AC5" s="1457"/>
      <c r="AD5" s="1457"/>
      <c r="AE5" s="1457"/>
      <c r="AF5" s="1457"/>
      <c r="AG5" s="1457"/>
      <c r="AH5" s="1457"/>
      <c r="AI5" s="1457"/>
      <c r="AJ5" s="1457"/>
      <c r="AK5" s="1457"/>
      <c r="AL5" s="1457"/>
      <c r="AM5" s="1457"/>
      <c r="AN5" s="1457"/>
      <c r="AO5" s="1457"/>
      <c r="AP5" s="1457"/>
      <c r="AQ5" s="1457"/>
      <c r="AR5" s="1457"/>
      <c r="AS5" s="1457"/>
      <c r="AT5" s="1457"/>
      <c r="AU5" s="1457"/>
      <c r="AV5" s="1457"/>
      <c r="AW5" s="1457"/>
      <c r="AX5" s="1457"/>
      <c r="AY5" s="1457"/>
      <c r="AZ5" s="1457"/>
      <c r="BA5" s="1458"/>
      <c r="BB5" s="181"/>
      <c r="BC5" s="1402" t="s">
        <v>1081</v>
      </c>
      <c r="BD5" s="1396"/>
      <c r="BE5" s="1396"/>
      <c r="BF5" s="1396"/>
      <c r="BG5" s="1396"/>
      <c r="BH5" s="181"/>
      <c r="BI5" s="1287" t="s">
        <v>1092</v>
      </c>
      <c r="BJ5" s="1424"/>
      <c r="BK5" s="1424"/>
      <c r="BL5" s="1424"/>
      <c r="BM5" s="1424"/>
      <c r="BN5" s="123"/>
      <c r="BQ5" s="16"/>
      <c r="BS5" s="737"/>
      <c r="BT5" s="738"/>
      <c r="BU5" s="739"/>
      <c r="BV5" s="739"/>
      <c r="BW5" s="739"/>
      <c r="BX5" s="739"/>
    </row>
    <row r="6" spans="1:76" ht="28.5" customHeight="1" x14ac:dyDescent="0.25">
      <c r="A6" s="1363" t="s">
        <v>1091</v>
      </c>
      <c r="B6" s="1406" t="s">
        <v>570</v>
      </c>
      <c r="C6" s="1408" t="s">
        <v>1133</v>
      </c>
      <c r="D6" s="1409" t="s">
        <v>301</v>
      </c>
      <c r="E6" s="1410"/>
      <c r="F6" s="1411"/>
      <c r="G6" s="1409" t="s">
        <v>302</v>
      </c>
      <c r="H6" s="1410"/>
      <c r="I6" s="1411"/>
      <c r="J6" s="1305" t="s">
        <v>250</v>
      </c>
      <c r="K6" s="1383" t="s">
        <v>163</v>
      </c>
      <c r="L6" s="1404" t="s">
        <v>1071</v>
      </c>
      <c r="M6" s="1316" t="s">
        <v>1028</v>
      </c>
      <c r="N6" s="1317"/>
      <c r="O6" s="1393" t="s">
        <v>1151</v>
      </c>
      <c r="P6" s="1394"/>
      <c r="Q6" s="519"/>
      <c r="R6" s="1395" t="s">
        <v>1152</v>
      </c>
      <c r="S6" s="1287" t="s">
        <v>631</v>
      </c>
      <c r="T6" s="1392" t="s">
        <v>828</v>
      </c>
      <c r="U6" s="1381"/>
      <c r="V6" s="1381"/>
      <c r="W6" s="1381"/>
      <c r="X6" s="1381"/>
      <c r="Y6" s="1346"/>
      <c r="Z6" s="400"/>
      <c r="AA6" s="1392" t="s">
        <v>851</v>
      </c>
      <c r="AB6" s="1381"/>
      <c r="AC6" s="1381"/>
      <c r="AD6" s="1381"/>
      <c r="AE6" s="1381"/>
      <c r="AF6" s="1346"/>
      <c r="AG6" s="400"/>
      <c r="AH6" s="1392" t="s">
        <v>852</v>
      </c>
      <c r="AI6" s="1381"/>
      <c r="AJ6" s="1381"/>
      <c r="AK6" s="1381"/>
      <c r="AL6" s="1381"/>
      <c r="AM6" s="1346"/>
      <c r="AN6" s="400"/>
      <c r="AO6" s="1392" t="s">
        <v>853</v>
      </c>
      <c r="AP6" s="1381"/>
      <c r="AQ6" s="1381"/>
      <c r="AR6" s="1381"/>
      <c r="AS6" s="1381"/>
      <c r="AT6" s="1346"/>
      <c r="AU6" s="400"/>
      <c r="AV6" s="1392" t="s">
        <v>854</v>
      </c>
      <c r="AW6" s="1381"/>
      <c r="AX6" s="1381"/>
      <c r="AY6" s="1381"/>
      <c r="AZ6" s="1381"/>
      <c r="BA6" s="1346"/>
      <c r="BB6" s="400"/>
      <c r="BC6" s="1286"/>
      <c r="BD6" s="1286"/>
      <c r="BE6" s="1286"/>
      <c r="BF6" s="1286"/>
      <c r="BG6" s="1286"/>
      <c r="BH6" s="400"/>
      <c r="BI6" s="1281"/>
      <c r="BJ6" s="1281"/>
      <c r="BK6" s="1281"/>
      <c r="BL6" s="1281"/>
      <c r="BM6" s="1281"/>
      <c r="BN6" s="123"/>
      <c r="BO6" s="487" t="s">
        <v>248</v>
      </c>
      <c r="BP6" s="487" t="s">
        <v>33</v>
      </c>
      <c r="BQ6" s="487" t="s">
        <v>11</v>
      </c>
      <c r="BR6" s="488" t="s">
        <v>606</v>
      </c>
      <c r="BS6" s="739"/>
      <c r="BT6" s="740"/>
      <c r="BU6" s="741"/>
      <c r="BV6" s="739"/>
      <c r="BW6" s="739"/>
      <c r="BX6" s="739"/>
    </row>
    <row r="7" spans="1:76" s="124" customFormat="1" ht="49.5" customHeight="1" thickBot="1" x14ac:dyDescent="0.3">
      <c r="A7" s="1364"/>
      <c r="B7" s="1407"/>
      <c r="C7" s="1304"/>
      <c r="D7" s="404" t="s">
        <v>85</v>
      </c>
      <c r="E7" s="376" t="s">
        <v>11</v>
      </c>
      <c r="F7" s="405" t="s">
        <v>303</v>
      </c>
      <c r="G7" s="658" t="s">
        <v>85</v>
      </c>
      <c r="H7" s="402" t="s">
        <v>307</v>
      </c>
      <c r="I7" s="411" t="s">
        <v>305</v>
      </c>
      <c r="J7" s="1296"/>
      <c r="K7" s="1283"/>
      <c r="L7" s="1405"/>
      <c r="M7" s="501" t="s">
        <v>328</v>
      </c>
      <c r="N7" s="483" t="s">
        <v>612</v>
      </c>
      <c r="O7" s="486" t="s">
        <v>605</v>
      </c>
      <c r="P7" s="483" t="s">
        <v>612</v>
      </c>
      <c r="Q7" s="723"/>
      <c r="R7" s="1396"/>
      <c r="S7" s="1286"/>
      <c r="T7" s="745" t="s">
        <v>850</v>
      </c>
      <c r="U7" s="744" t="s">
        <v>1038</v>
      </c>
      <c r="V7" s="681" t="s">
        <v>33</v>
      </c>
      <c r="W7" s="312" t="s">
        <v>1078</v>
      </c>
      <c r="X7" s="681" t="s">
        <v>1079</v>
      </c>
      <c r="Y7" s="312" t="s">
        <v>1080</v>
      </c>
      <c r="Z7" s="519"/>
      <c r="AA7" s="745" t="s">
        <v>850</v>
      </c>
      <c r="AB7" s="744" t="s">
        <v>831</v>
      </c>
      <c r="AC7" s="681" t="s">
        <v>33</v>
      </c>
      <c r="AD7" s="312" t="s">
        <v>1078</v>
      </c>
      <c r="AE7" s="681" t="s">
        <v>1079</v>
      </c>
      <c r="AF7" s="312" t="s">
        <v>1080</v>
      </c>
      <c r="AG7" s="519"/>
      <c r="AH7" s="745" t="s">
        <v>850</v>
      </c>
      <c r="AI7" s="744" t="s">
        <v>831</v>
      </c>
      <c r="AJ7" s="681" t="s">
        <v>33</v>
      </c>
      <c r="AK7" s="312" t="s">
        <v>1078</v>
      </c>
      <c r="AL7" s="681" t="s">
        <v>1079</v>
      </c>
      <c r="AM7" s="312" t="s">
        <v>1080</v>
      </c>
      <c r="AN7" s="519"/>
      <c r="AO7" s="745" t="s">
        <v>850</v>
      </c>
      <c r="AP7" s="744" t="s">
        <v>830</v>
      </c>
      <c r="AQ7" s="681" t="s">
        <v>33</v>
      </c>
      <c r="AR7" s="312" t="s">
        <v>1078</v>
      </c>
      <c r="AS7" s="681" t="s">
        <v>1079</v>
      </c>
      <c r="AT7" s="312" t="s">
        <v>1080</v>
      </c>
      <c r="AU7" s="519"/>
      <c r="AV7" s="745" t="s">
        <v>850</v>
      </c>
      <c r="AW7" s="744" t="s">
        <v>830</v>
      </c>
      <c r="AX7" s="681" t="s">
        <v>33</v>
      </c>
      <c r="AY7" s="312" t="s">
        <v>1078</v>
      </c>
      <c r="AZ7" s="681" t="s">
        <v>1079</v>
      </c>
      <c r="BA7" s="312" t="s">
        <v>1080</v>
      </c>
      <c r="BB7" s="519"/>
      <c r="BC7" s="775" t="s">
        <v>1096</v>
      </c>
      <c r="BD7" s="312" t="s">
        <v>1082</v>
      </c>
      <c r="BE7" s="312" t="s">
        <v>1083</v>
      </c>
      <c r="BF7" s="699" t="s">
        <v>1268</v>
      </c>
      <c r="BG7" s="312" t="s">
        <v>290</v>
      </c>
      <c r="BH7" s="519"/>
      <c r="BI7" s="780" t="s">
        <v>1096</v>
      </c>
      <c r="BJ7" s="312" t="s">
        <v>1082</v>
      </c>
      <c r="BK7" s="781" t="s">
        <v>1098</v>
      </c>
      <c r="BL7" s="699" t="s">
        <v>1268</v>
      </c>
      <c r="BM7" s="312" t="s">
        <v>290</v>
      </c>
      <c r="BN7" s="519"/>
      <c r="BO7" s="736" t="s">
        <v>31</v>
      </c>
      <c r="BP7" s="489">
        <v>0</v>
      </c>
      <c r="BQ7" s="489">
        <v>0</v>
      </c>
      <c r="BR7" s="488">
        <v>0</v>
      </c>
      <c r="BS7" s="739"/>
      <c r="BT7" s="741"/>
      <c r="BU7" s="737"/>
      <c r="BV7" s="739"/>
      <c r="BW7" s="596"/>
      <c r="BX7" s="596"/>
    </row>
    <row r="8" spans="1:76" ht="23.25" customHeight="1" x14ac:dyDescent="0.25">
      <c r="A8" s="379" t="s">
        <v>1305</v>
      </c>
      <c r="B8" s="1221">
        <v>5</v>
      </c>
      <c r="C8" s="631" t="s">
        <v>249</v>
      </c>
      <c r="D8" s="406">
        <f t="shared" ref="D8:D31" si="0">VLOOKUP(C8,BO$7:BQ$23,2,FALSE)</f>
        <v>120</v>
      </c>
      <c r="E8" s="383">
        <f t="shared" ref="E8:E31" si="1">VLOOKUP(C8,BO$7:BQ$23,3,FALSE)</f>
        <v>18.2</v>
      </c>
      <c r="F8" s="407">
        <f>D8*E8/6.25</f>
        <v>349.44</v>
      </c>
      <c r="G8" s="1240">
        <v>100</v>
      </c>
      <c r="H8" s="1241">
        <v>18.2</v>
      </c>
      <c r="I8" s="412">
        <f>G8*H8/6.25</f>
        <v>291.2</v>
      </c>
      <c r="J8" s="432">
        <v>50</v>
      </c>
      <c r="K8" s="426">
        <f>IF(J8="Reinbestand",I8,J8*3)</f>
        <v>150</v>
      </c>
      <c r="L8" s="1239"/>
      <c r="M8" s="586">
        <f t="shared" ref="M8:M31" si="2">IF(I8-K8-L8&lt;0,0,I8-K8-L8)</f>
        <v>141.19999999999999</v>
      </c>
      <c r="N8" s="495">
        <f t="shared" ref="N8:N31" si="3">IF(M8&lt;0,0,M8*B8)</f>
        <v>706</v>
      </c>
      <c r="O8" s="497">
        <f t="shared" ref="O8:O31" si="4">G8*VLOOKUP(C8,BO$7:BR$21,4,FALSE)</f>
        <v>75</v>
      </c>
      <c r="P8" s="434">
        <f t="shared" ref="P8:P31" si="5">B8*O8</f>
        <v>375</v>
      </c>
      <c r="Q8" s="474"/>
      <c r="R8" s="775" t="str">
        <f>$A8</f>
        <v>Ackerfutter</v>
      </c>
      <c r="S8" s="775" t="str">
        <f>C8</f>
        <v>Klee-/Luz.gras, 3-4 Schn.</v>
      </c>
      <c r="T8" s="899">
        <v>44635</v>
      </c>
      <c r="U8" s="900" t="s">
        <v>841</v>
      </c>
      <c r="V8" s="978">
        <v>1.5</v>
      </c>
      <c r="W8" s="751">
        <f>VLOOKUP(U8,Düngemittel!$B$6:$E$64,2,FALSE)*(VLOOKUP(U8,Düngemittel!$B$6:$E$64,3,FALSE))/100*V8</f>
        <v>40.5</v>
      </c>
      <c r="X8" s="687">
        <f>VLOOKUP(U8,Düngemittel!$B$6:$E$64,2,FALSE)*V8</f>
        <v>40.5</v>
      </c>
      <c r="Y8" s="687">
        <f>VLOOKUP(U8,Düngemittel!$B$6:$E$64,4,FALSE)*V8</f>
        <v>0</v>
      </c>
      <c r="Z8" s="666"/>
      <c r="AA8" s="899">
        <v>44824</v>
      </c>
      <c r="AB8" s="900" t="s">
        <v>1054</v>
      </c>
      <c r="AC8" s="978">
        <v>150</v>
      </c>
      <c r="AD8" s="751">
        <f>VLOOKUP(AB8,Düngemittel!$B$6:$E$64,2,FALSE)*(VLOOKUP(AB8,Düngemittel!$B$6:$E$64,3,FALSE))/100*AC8</f>
        <v>32.4</v>
      </c>
      <c r="AE8" s="687">
        <f>VLOOKUP(AB8,Düngemittel!$B$6:$E$64,2,FALSE)*AC8</f>
        <v>54</v>
      </c>
      <c r="AF8" s="687">
        <f>VLOOKUP(AB8,Düngemittel!$B$6:$E$64,4,FALSE)*AC8</f>
        <v>22.5</v>
      </c>
      <c r="AG8" s="666"/>
      <c r="AH8" s="899"/>
      <c r="AI8" s="900" t="s">
        <v>805</v>
      </c>
      <c r="AJ8" s="978">
        <v>0</v>
      </c>
      <c r="AK8" s="751">
        <f>VLOOKUP(AI8,Düngemittel!$B$6:$E$64,2,FALSE)*(VLOOKUP(AI8,Düngemittel!$B$6:$E$64,3,FALSE))/100*AJ8</f>
        <v>0</v>
      </c>
      <c r="AL8" s="687">
        <f>VLOOKUP(AI8,Düngemittel!$B$6:$E$64,2,FALSE)*AJ8</f>
        <v>0</v>
      </c>
      <c r="AM8" s="687">
        <f>VLOOKUP(AI8,Düngemittel!$B$6:$E$64,4,FALSE)*AJ8</f>
        <v>0</v>
      </c>
      <c r="AN8" s="666"/>
      <c r="AO8" s="899"/>
      <c r="AP8" s="900" t="s">
        <v>805</v>
      </c>
      <c r="AQ8" s="978">
        <v>0</v>
      </c>
      <c r="AR8" s="751">
        <f>VLOOKUP(AP8,Düngemittel!$B$6:$E$64,2,FALSE)*(VLOOKUP(AP8,Düngemittel!$B$6:$E$64,3,FALSE))/100*AQ8</f>
        <v>0</v>
      </c>
      <c r="AS8" s="687">
        <f>VLOOKUP(AP8,Düngemittel!$B$6:$E$64,2,FALSE)*AQ8</f>
        <v>0</v>
      </c>
      <c r="AT8" s="687">
        <f>VLOOKUP(AP8,Düngemittel!$B$6:$E$64,4,FALSE)*AQ8</f>
        <v>0</v>
      </c>
      <c r="AU8" s="666"/>
      <c r="AV8" s="899"/>
      <c r="AW8" s="900" t="s">
        <v>805</v>
      </c>
      <c r="AX8" s="978">
        <v>0</v>
      </c>
      <c r="AY8" s="751">
        <f>VLOOKUP(AW8,Düngemittel!$B$6:$E$64,2,FALSE)*(VLOOKUP(AW8,Düngemittel!$B$6:$E$64,3,FALSE))/100*AX8</f>
        <v>0</v>
      </c>
      <c r="AZ8" s="687">
        <f>VLOOKUP(AW8,Düngemittel!$B$6:$E$64,2,FALSE)*AX8</f>
        <v>0</v>
      </c>
      <c r="BA8" s="687">
        <f>VLOOKUP(AW8,Düngemittel!$B$6:$E$64,4,FALSE)*AX8</f>
        <v>0</v>
      </c>
      <c r="BB8" s="666"/>
      <c r="BC8" s="853">
        <f>IF(W8&lt;X8,0,W8)+IF(AD8&lt;AE8,0,AD8)+IF(AK8&lt;AL8,0,AK8)+IF(AR8&lt;AS8,0,AR8)+IF(AY8&lt;AZ8,0,AY8)</f>
        <v>40.5</v>
      </c>
      <c r="BD8" s="308">
        <f>SUM(W8+AD8+AK8+AR8+AY8)</f>
        <v>72.900000000000006</v>
      </c>
      <c r="BE8" s="853">
        <f>SUM(X8+AE8+AL8+AS8+AZ8)</f>
        <v>94.5</v>
      </c>
      <c r="BF8" s="777">
        <f>IF(W8&lt;X8,X8,0)+IF(AD8&lt;AE8,AE8,0)+IF(AK8&lt;AL8,AL8,0)+IF(AR8&lt;AS8,AS8,0)+IF(AY8&lt;AZ8,AZ8,0)</f>
        <v>54</v>
      </c>
      <c r="BG8" s="308">
        <f>SUM(Y8+AF8+AM8+AT8+BA8)</f>
        <v>22.5</v>
      </c>
      <c r="BH8" s="785"/>
      <c r="BI8" s="853">
        <f>BC8*$B8</f>
        <v>202.5</v>
      </c>
      <c r="BJ8" s="853">
        <f t="shared" ref="BJ8:BM8" si="6">BD8*$B8</f>
        <v>364.5</v>
      </c>
      <c r="BK8" s="853">
        <f t="shared" si="6"/>
        <v>472.5</v>
      </c>
      <c r="BL8" s="853">
        <f t="shared" si="6"/>
        <v>270</v>
      </c>
      <c r="BM8" s="853">
        <f t="shared" si="6"/>
        <v>112.5</v>
      </c>
      <c r="BN8" s="16"/>
      <c r="BO8" s="733" t="s">
        <v>245</v>
      </c>
      <c r="BP8" s="488">
        <v>150</v>
      </c>
      <c r="BQ8" s="488">
        <v>16.600000000000001</v>
      </c>
      <c r="BR8" s="490">
        <v>0.8</v>
      </c>
      <c r="BS8" s="739"/>
      <c r="BT8" s="740"/>
      <c r="BU8" s="737"/>
      <c r="BV8" s="739"/>
      <c r="BW8" s="739"/>
      <c r="BX8" s="739"/>
    </row>
    <row r="9" spans="1:76" ht="23.25" customHeight="1" x14ac:dyDescent="0.25">
      <c r="A9" s="342" t="s">
        <v>575</v>
      </c>
      <c r="B9" s="1222">
        <v>0</v>
      </c>
      <c r="C9" s="632" t="s">
        <v>31</v>
      </c>
      <c r="D9" s="408">
        <f t="shared" si="0"/>
        <v>0</v>
      </c>
      <c r="E9" s="285">
        <f t="shared" si="1"/>
        <v>0</v>
      </c>
      <c r="F9" s="409">
        <f t="shared" ref="F9:F31" si="7">D9*E9/6.25</f>
        <v>0</v>
      </c>
      <c r="G9" s="1242">
        <v>0</v>
      </c>
      <c r="H9" s="906">
        <v>0</v>
      </c>
      <c r="I9" s="413">
        <f t="shared" ref="I9:I31" si="8">G9*H9/6.25</f>
        <v>0</v>
      </c>
      <c r="J9" s="433">
        <v>0</v>
      </c>
      <c r="K9" s="427">
        <f t="shared" ref="K9:K31" si="9">IF(J9="Reinbestand",I9,J9*3)</f>
        <v>0</v>
      </c>
      <c r="L9" s="1220"/>
      <c r="M9" s="587">
        <f t="shared" si="2"/>
        <v>0</v>
      </c>
      <c r="N9" s="435">
        <f t="shared" si="3"/>
        <v>0</v>
      </c>
      <c r="O9" s="498">
        <f t="shared" si="4"/>
        <v>0</v>
      </c>
      <c r="P9" s="495">
        <f t="shared" si="5"/>
        <v>0</v>
      </c>
      <c r="Q9" s="474"/>
      <c r="R9" s="775" t="str">
        <f t="shared" ref="R9:R31" si="10">A9</f>
        <v>Schlag 2</v>
      </c>
      <c r="S9" s="775" t="str">
        <f t="shared" ref="S9:S31" si="11">C9</f>
        <v>keine</v>
      </c>
      <c r="T9" s="886"/>
      <c r="U9" s="900" t="s">
        <v>805</v>
      </c>
      <c r="V9" s="906">
        <v>0</v>
      </c>
      <c r="W9" s="751">
        <f>VLOOKUP(U9,Düngemittel!$B$6:$E$64,2,FALSE)*(VLOOKUP(U9,Düngemittel!$B$6:$E$64,3,FALSE))/100*V9</f>
        <v>0</v>
      </c>
      <c r="X9" s="687">
        <f>VLOOKUP(U9,Düngemittel!$B$6:$E$64,2,FALSE)*V9</f>
        <v>0</v>
      </c>
      <c r="Y9" s="687">
        <f>VLOOKUP(U9,Düngemittel!$B$6:$E$64,4,FALSE)*V9</f>
        <v>0</v>
      </c>
      <c r="Z9" s="666"/>
      <c r="AA9" s="899"/>
      <c r="AB9" s="900" t="s">
        <v>805</v>
      </c>
      <c r="AC9" s="978">
        <v>0</v>
      </c>
      <c r="AD9" s="751">
        <f>VLOOKUP(AB9,Düngemittel!$B$6:$E$64,2,FALSE)*(VLOOKUP(AB9,Düngemittel!$B$6:$E$64,3,FALSE))/100*AC9</f>
        <v>0</v>
      </c>
      <c r="AE9" s="687">
        <f>VLOOKUP(AB9,Düngemittel!$B$6:$E$64,2,FALSE)*AC9</f>
        <v>0</v>
      </c>
      <c r="AF9" s="687">
        <f>VLOOKUP(AB9,Düngemittel!$B$6:$E$64,4,FALSE)*AC9</f>
        <v>0</v>
      </c>
      <c r="AG9" s="666"/>
      <c r="AH9" s="899"/>
      <c r="AI9" s="900" t="s">
        <v>805</v>
      </c>
      <c r="AJ9" s="978">
        <v>0</v>
      </c>
      <c r="AK9" s="751">
        <f>VLOOKUP(AI9,Düngemittel!$B$6:$E$64,2,FALSE)*(VLOOKUP(AI9,Düngemittel!$B$6:$E$64,3,FALSE))/100*AJ9</f>
        <v>0</v>
      </c>
      <c r="AL9" s="687">
        <f>VLOOKUP(AI9,Düngemittel!$B$6:$E$64,2,FALSE)*AJ9</f>
        <v>0</v>
      </c>
      <c r="AM9" s="687">
        <f>VLOOKUP(AI9,Düngemittel!$B$6:$E$64,4,FALSE)*AJ9</f>
        <v>0</v>
      </c>
      <c r="AN9" s="666"/>
      <c r="AO9" s="899"/>
      <c r="AP9" s="900" t="s">
        <v>805</v>
      </c>
      <c r="AQ9" s="978">
        <v>0</v>
      </c>
      <c r="AR9" s="751">
        <f>VLOOKUP(AP9,Düngemittel!$B$6:$E$64,2,FALSE)*(VLOOKUP(AP9,Düngemittel!$B$6:$E$64,3,FALSE))/100*AQ9</f>
        <v>0</v>
      </c>
      <c r="AS9" s="687">
        <f>VLOOKUP(AP9,Düngemittel!$B$6:$E$64,2,FALSE)*AQ9</f>
        <v>0</v>
      </c>
      <c r="AT9" s="687">
        <f>VLOOKUP(AP9,Düngemittel!$B$6:$E$64,4,FALSE)*AQ9</f>
        <v>0</v>
      </c>
      <c r="AU9" s="666"/>
      <c r="AV9" s="899"/>
      <c r="AW9" s="900" t="s">
        <v>805</v>
      </c>
      <c r="AX9" s="978">
        <v>0</v>
      </c>
      <c r="AY9" s="751">
        <f>VLOOKUP(AW9,Düngemittel!$B$6:$E$64,2,FALSE)*(VLOOKUP(AW9,Düngemittel!$B$6:$E$64,3,FALSE))/100*AX9</f>
        <v>0</v>
      </c>
      <c r="AZ9" s="687">
        <f>VLOOKUP(AW9,Düngemittel!$B$6:$E$64,2,FALSE)*AX9</f>
        <v>0</v>
      </c>
      <c r="BA9" s="687">
        <f>VLOOKUP(AW9,Düngemittel!$B$6:$E$64,4,FALSE)*AX9</f>
        <v>0</v>
      </c>
      <c r="BB9" s="666"/>
      <c r="BC9" s="853">
        <f t="shared" ref="BC9:BC31" si="12">IF(W9&lt;X9,0,W9)+IF(AD9&lt;AE9,0,AD9)+IF(AK9&lt;AL9,0,AK9)+IF(AR9&lt;AS9,0,AR9)+IF(AY9&lt;AZ9,0,AY9)</f>
        <v>0</v>
      </c>
      <c r="BD9" s="308">
        <f t="shared" ref="BD9:BE31" si="13">SUM(W9+AD9+AK9+AR9+AY9)</f>
        <v>0</v>
      </c>
      <c r="BE9" s="853">
        <f t="shared" si="13"/>
        <v>0</v>
      </c>
      <c r="BF9" s="777">
        <f t="shared" ref="BF9:BF31" si="14">IF(W9&lt;X9,X9,0)+IF(AD9&lt;AE9,AE9,0)+IF(AK9&lt;AL9,AL9,0)+IF(AR9&lt;AS9,AS9,0)+IF(AY9&lt;AZ9,AZ9,0)</f>
        <v>0</v>
      </c>
      <c r="BG9" s="308">
        <f t="shared" ref="BG9:BG31" si="15">SUM(Y9+AF9+AM9+AT9+BA9)</f>
        <v>0</v>
      </c>
      <c r="BH9" s="785"/>
      <c r="BI9" s="853">
        <f t="shared" ref="BI9:BI31" si="16">BC9*$B9</f>
        <v>0</v>
      </c>
      <c r="BJ9" s="853">
        <f t="shared" ref="BJ9:BJ31" si="17">BD9*$B9</f>
        <v>0</v>
      </c>
      <c r="BK9" s="853">
        <f t="shared" ref="BK9:BK31" si="18">BE9*$B9</f>
        <v>0</v>
      </c>
      <c r="BL9" s="853">
        <f t="shared" ref="BL9:BL31" si="19">BF9*$B9</f>
        <v>0</v>
      </c>
      <c r="BM9" s="853">
        <f t="shared" ref="BM9:BM31" si="20">BG9*$B9</f>
        <v>0</v>
      </c>
      <c r="BN9" s="16"/>
      <c r="BO9" s="733" t="s">
        <v>246</v>
      </c>
      <c r="BP9" s="488">
        <v>120</v>
      </c>
      <c r="BQ9" s="488">
        <v>16.2</v>
      </c>
      <c r="BR9" s="488">
        <v>0.8</v>
      </c>
      <c r="BS9" s="739"/>
      <c r="BT9" s="740"/>
      <c r="BU9" s="737"/>
      <c r="BV9" s="739"/>
      <c r="BW9" s="739"/>
      <c r="BX9" s="739"/>
    </row>
    <row r="10" spans="1:76" ht="23.25" customHeight="1" x14ac:dyDescent="0.25">
      <c r="A10" s="342" t="s">
        <v>572</v>
      </c>
      <c r="B10" s="1222">
        <v>0</v>
      </c>
      <c r="C10" s="632" t="s">
        <v>31</v>
      </c>
      <c r="D10" s="408">
        <f t="shared" si="0"/>
        <v>0</v>
      </c>
      <c r="E10" s="285">
        <f t="shared" si="1"/>
        <v>0</v>
      </c>
      <c r="F10" s="409">
        <f t="shared" si="7"/>
        <v>0</v>
      </c>
      <c r="G10" s="1242">
        <v>0</v>
      </c>
      <c r="H10" s="906">
        <v>0</v>
      </c>
      <c r="I10" s="413">
        <f t="shared" si="8"/>
        <v>0</v>
      </c>
      <c r="J10" s="433">
        <v>0</v>
      </c>
      <c r="K10" s="427">
        <f t="shared" si="9"/>
        <v>0</v>
      </c>
      <c r="L10" s="1220"/>
      <c r="M10" s="587">
        <f t="shared" si="2"/>
        <v>0</v>
      </c>
      <c r="N10" s="435">
        <f t="shared" si="3"/>
        <v>0</v>
      </c>
      <c r="O10" s="499">
        <f t="shared" si="4"/>
        <v>0</v>
      </c>
      <c r="P10" s="435">
        <f t="shared" si="5"/>
        <v>0</v>
      </c>
      <c r="Q10" s="474"/>
      <c r="R10" s="775" t="str">
        <f t="shared" si="10"/>
        <v>Fläche 3</v>
      </c>
      <c r="S10" s="775" t="str">
        <f t="shared" si="11"/>
        <v>keine</v>
      </c>
      <c r="T10" s="886"/>
      <c r="U10" s="900" t="s">
        <v>805</v>
      </c>
      <c r="V10" s="906">
        <v>0</v>
      </c>
      <c r="W10" s="751">
        <f>VLOOKUP(U10,Düngemittel!$B$6:$E$64,2,FALSE)*(VLOOKUP(U10,Düngemittel!$B$6:$E$64,3,FALSE))/100*V10</f>
        <v>0</v>
      </c>
      <c r="X10" s="687">
        <f>VLOOKUP(U10,Düngemittel!$B$6:$E$64,2,FALSE)*V10</f>
        <v>0</v>
      </c>
      <c r="Y10" s="687">
        <f>VLOOKUP(U10,Düngemittel!$B$6:$E$64,4,FALSE)*V10</f>
        <v>0</v>
      </c>
      <c r="Z10" s="666"/>
      <c r="AA10" s="899"/>
      <c r="AB10" s="900" t="s">
        <v>805</v>
      </c>
      <c r="AC10" s="978">
        <v>0</v>
      </c>
      <c r="AD10" s="751">
        <f>VLOOKUP(AB10,Düngemittel!$B$6:$E$64,2,FALSE)*(VLOOKUP(AB10,Düngemittel!$B$6:$E$64,3,FALSE))/100*AC10</f>
        <v>0</v>
      </c>
      <c r="AE10" s="687">
        <f>VLOOKUP(AB10,Düngemittel!$B$6:$E$64,2,FALSE)*AC10</f>
        <v>0</v>
      </c>
      <c r="AF10" s="687">
        <f>VLOOKUP(AB10,Düngemittel!$B$6:$E$64,4,FALSE)*AC10</f>
        <v>0</v>
      </c>
      <c r="AG10" s="666"/>
      <c r="AH10" s="899"/>
      <c r="AI10" s="900" t="s">
        <v>805</v>
      </c>
      <c r="AJ10" s="978">
        <v>0</v>
      </c>
      <c r="AK10" s="751">
        <f>VLOOKUP(AI10,Düngemittel!$B$6:$E$64,2,FALSE)*(VLOOKUP(AI10,Düngemittel!$B$6:$E$64,3,FALSE))/100*AJ10</f>
        <v>0</v>
      </c>
      <c r="AL10" s="687">
        <f>VLOOKUP(AI10,Düngemittel!$B$6:$E$64,2,FALSE)*AJ10</f>
        <v>0</v>
      </c>
      <c r="AM10" s="687">
        <f>VLOOKUP(AI10,Düngemittel!$B$6:$E$64,4,FALSE)*AJ10</f>
        <v>0</v>
      </c>
      <c r="AN10" s="666"/>
      <c r="AO10" s="899"/>
      <c r="AP10" s="900" t="s">
        <v>805</v>
      </c>
      <c r="AQ10" s="978">
        <v>0</v>
      </c>
      <c r="AR10" s="751">
        <f>VLOOKUP(AP10,Düngemittel!$B$6:$E$64,2,FALSE)*(VLOOKUP(AP10,Düngemittel!$B$6:$E$64,3,FALSE))/100*AQ10</f>
        <v>0</v>
      </c>
      <c r="AS10" s="687">
        <f>VLOOKUP(AP10,Düngemittel!$B$6:$E$64,2,FALSE)*AQ10</f>
        <v>0</v>
      </c>
      <c r="AT10" s="687">
        <f>VLOOKUP(AP10,Düngemittel!$B$6:$E$64,4,FALSE)*AQ10</f>
        <v>0</v>
      </c>
      <c r="AU10" s="666"/>
      <c r="AV10" s="899"/>
      <c r="AW10" s="900" t="s">
        <v>805</v>
      </c>
      <c r="AX10" s="978">
        <v>0</v>
      </c>
      <c r="AY10" s="751">
        <f>VLOOKUP(AW10,Düngemittel!$B$6:$E$64,2,FALSE)*(VLOOKUP(AW10,Düngemittel!$B$6:$E$64,3,FALSE))/100*AX10</f>
        <v>0</v>
      </c>
      <c r="AZ10" s="687">
        <f>VLOOKUP(AW10,Düngemittel!$B$6:$E$64,2,FALSE)*AX10</f>
        <v>0</v>
      </c>
      <c r="BA10" s="687">
        <f>VLOOKUP(AW10,Düngemittel!$B$6:$E$64,4,FALSE)*AX10</f>
        <v>0</v>
      </c>
      <c r="BB10" s="666"/>
      <c r="BC10" s="853">
        <f t="shared" si="12"/>
        <v>0</v>
      </c>
      <c r="BD10" s="308">
        <f t="shared" si="13"/>
        <v>0</v>
      </c>
      <c r="BE10" s="853">
        <f t="shared" si="13"/>
        <v>0</v>
      </c>
      <c r="BF10" s="777">
        <f t="shared" si="14"/>
        <v>0</v>
      </c>
      <c r="BG10" s="308">
        <f t="shared" si="15"/>
        <v>0</v>
      </c>
      <c r="BH10" s="785"/>
      <c r="BI10" s="853">
        <f t="shared" si="16"/>
        <v>0</v>
      </c>
      <c r="BJ10" s="853">
        <f t="shared" si="17"/>
        <v>0</v>
      </c>
      <c r="BK10" s="853">
        <f t="shared" si="18"/>
        <v>0</v>
      </c>
      <c r="BL10" s="853">
        <f t="shared" si="19"/>
        <v>0</v>
      </c>
      <c r="BM10" s="853">
        <f t="shared" si="20"/>
        <v>0</v>
      </c>
      <c r="BN10" s="16"/>
      <c r="BO10" s="734" t="s">
        <v>742</v>
      </c>
      <c r="BP10" s="638">
        <v>120</v>
      </c>
      <c r="BQ10" s="638">
        <v>16.2</v>
      </c>
      <c r="BR10" s="638">
        <v>0.8</v>
      </c>
      <c r="BS10" s="739"/>
      <c r="BT10" s="740"/>
      <c r="BU10" s="737"/>
      <c r="BV10" s="739"/>
      <c r="BW10" s="739"/>
      <c r="BX10" s="739"/>
    </row>
    <row r="11" spans="1:76" ht="23.25" customHeight="1" x14ac:dyDescent="0.25">
      <c r="A11" s="342">
        <v>4</v>
      </c>
      <c r="B11" s="1222">
        <v>0</v>
      </c>
      <c r="C11" s="632" t="s">
        <v>31</v>
      </c>
      <c r="D11" s="408">
        <f t="shared" si="0"/>
        <v>0</v>
      </c>
      <c r="E11" s="285">
        <f t="shared" si="1"/>
        <v>0</v>
      </c>
      <c r="F11" s="409">
        <f t="shared" si="7"/>
        <v>0</v>
      </c>
      <c r="G11" s="1242">
        <v>0</v>
      </c>
      <c r="H11" s="906">
        <v>0</v>
      </c>
      <c r="I11" s="413">
        <f t="shared" si="8"/>
        <v>0</v>
      </c>
      <c r="J11" s="433">
        <v>0</v>
      </c>
      <c r="K11" s="427">
        <f t="shared" si="9"/>
        <v>0</v>
      </c>
      <c r="L11" s="1220"/>
      <c r="M11" s="587">
        <f t="shared" si="2"/>
        <v>0</v>
      </c>
      <c r="N11" s="435">
        <f t="shared" si="3"/>
        <v>0</v>
      </c>
      <c r="O11" s="499">
        <f t="shared" si="4"/>
        <v>0</v>
      </c>
      <c r="P11" s="435">
        <f t="shared" si="5"/>
        <v>0</v>
      </c>
      <c r="Q11" s="474"/>
      <c r="R11" s="775">
        <f t="shared" si="10"/>
        <v>4</v>
      </c>
      <c r="S11" s="775" t="str">
        <f t="shared" si="11"/>
        <v>keine</v>
      </c>
      <c r="T11" s="901"/>
      <c r="U11" s="900" t="s">
        <v>805</v>
      </c>
      <c r="V11" s="324">
        <v>0</v>
      </c>
      <c r="W11" s="751">
        <f>VLOOKUP(U11,Düngemittel!$B$6:$E$64,2,FALSE)*(VLOOKUP(U11,Düngemittel!$B$6:$E$64,3,FALSE))/100*V11</f>
        <v>0</v>
      </c>
      <c r="X11" s="687">
        <f>VLOOKUP(U11,Düngemittel!$B$6:$E$64,2,FALSE)*V11</f>
        <v>0</v>
      </c>
      <c r="Y11" s="687">
        <f>VLOOKUP(U11,Düngemittel!$B$6:$E$64,4,FALSE)*V11</f>
        <v>0</v>
      </c>
      <c r="Z11" s="666"/>
      <c r="AA11" s="899"/>
      <c r="AB11" s="900" t="s">
        <v>805</v>
      </c>
      <c r="AC11" s="978">
        <v>0</v>
      </c>
      <c r="AD11" s="751">
        <f>VLOOKUP(AB11,Düngemittel!$B$6:$E$64,2,FALSE)*(VLOOKUP(AB11,Düngemittel!$B$6:$E$64,3,FALSE))/100*AC11</f>
        <v>0</v>
      </c>
      <c r="AE11" s="687">
        <f>VLOOKUP(AB11,Düngemittel!$B$6:$E$64,2,FALSE)*AC11</f>
        <v>0</v>
      </c>
      <c r="AF11" s="687">
        <f>VLOOKUP(AB11,Düngemittel!$B$6:$E$64,4,FALSE)*AC11</f>
        <v>0</v>
      </c>
      <c r="AG11" s="666"/>
      <c r="AH11" s="899"/>
      <c r="AI11" s="900" t="s">
        <v>805</v>
      </c>
      <c r="AJ11" s="978">
        <v>0</v>
      </c>
      <c r="AK11" s="751">
        <f>VLOOKUP(AI11,Düngemittel!$B$6:$E$64,2,FALSE)*(VLOOKUP(AI11,Düngemittel!$B$6:$E$64,3,FALSE))/100*AJ11</f>
        <v>0</v>
      </c>
      <c r="AL11" s="687">
        <f>VLOOKUP(AI11,Düngemittel!$B$6:$E$64,2,FALSE)*AJ11</f>
        <v>0</v>
      </c>
      <c r="AM11" s="687">
        <f>VLOOKUP(AI11,Düngemittel!$B$6:$E$64,4,FALSE)*AJ11</f>
        <v>0</v>
      </c>
      <c r="AN11" s="666"/>
      <c r="AO11" s="899"/>
      <c r="AP11" s="900" t="s">
        <v>805</v>
      </c>
      <c r="AQ11" s="978">
        <v>0</v>
      </c>
      <c r="AR11" s="751">
        <f>VLOOKUP(AP11,Düngemittel!$B$6:$E$64,2,FALSE)*(VLOOKUP(AP11,Düngemittel!$B$6:$E$64,3,FALSE))/100*AQ11</f>
        <v>0</v>
      </c>
      <c r="AS11" s="687">
        <f>VLOOKUP(AP11,Düngemittel!$B$6:$E$64,2,FALSE)*AQ11</f>
        <v>0</v>
      </c>
      <c r="AT11" s="687">
        <f>VLOOKUP(AP11,Düngemittel!$B$6:$E$64,4,FALSE)*AQ11</f>
        <v>0</v>
      </c>
      <c r="AU11" s="666"/>
      <c r="AV11" s="899"/>
      <c r="AW11" s="900" t="s">
        <v>805</v>
      </c>
      <c r="AX11" s="978">
        <v>0</v>
      </c>
      <c r="AY11" s="751">
        <f>VLOOKUP(AW11,Düngemittel!$B$6:$E$64,2,FALSE)*(VLOOKUP(AW11,Düngemittel!$B$6:$E$64,3,FALSE))/100*AX11</f>
        <v>0</v>
      </c>
      <c r="AZ11" s="687">
        <f>VLOOKUP(AW11,Düngemittel!$B$6:$E$64,2,FALSE)*AX11</f>
        <v>0</v>
      </c>
      <c r="BA11" s="687">
        <f>VLOOKUP(AW11,Düngemittel!$B$6:$E$64,4,FALSE)*AX11</f>
        <v>0</v>
      </c>
      <c r="BB11" s="666"/>
      <c r="BC11" s="853">
        <f t="shared" si="12"/>
        <v>0</v>
      </c>
      <c r="BD11" s="308">
        <f t="shared" si="13"/>
        <v>0</v>
      </c>
      <c r="BE11" s="853">
        <f t="shared" si="13"/>
        <v>0</v>
      </c>
      <c r="BF11" s="777">
        <f t="shared" si="14"/>
        <v>0</v>
      </c>
      <c r="BG11" s="308">
        <f t="shared" si="15"/>
        <v>0</v>
      </c>
      <c r="BH11" s="785"/>
      <c r="BI11" s="853">
        <f t="shared" si="16"/>
        <v>0</v>
      </c>
      <c r="BJ11" s="853">
        <f t="shared" si="17"/>
        <v>0</v>
      </c>
      <c r="BK11" s="853">
        <f t="shared" si="18"/>
        <v>0</v>
      </c>
      <c r="BL11" s="853">
        <f t="shared" si="19"/>
        <v>0</v>
      </c>
      <c r="BM11" s="853">
        <f t="shared" si="20"/>
        <v>0</v>
      </c>
      <c r="BN11" s="16"/>
      <c r="BO11" s="734" t="s">
        <v>744</v>
      </c>
      <c r="BP11" s="638">
        <v>65</v>
      </c>
      <c r="BQ11" s="638">
        <v>16.2</v>
      </c>
      <c r="BR11" s="638">
        <v>0.8</v>
      </c>
      <c r="BS11" s="739"/>
      <c r="BT11" s="740"/>
      <c r="BU11" s="737"/>
      <c r="BV11" s="739"/>
      <c r="BW11" s="739"/>
      <c r="BX11" s="739"/>
    </row>
    <row r="12" spans="1:76" ht="23.25" customHeight="1" x14ac:dyDescent="0.25">
      <c r="A12" s="342">
        <v>5</v>
      </c>
      <c r="B12" s="1222">
        <v>0</v>
      </c>
      <c r="C12" s="632" t="s">
        <v>31</v>
      </c>
      <c r="D12" s="408">
        <f t="shared" si="0"/>
        <v>0</v>
      </c>
      <c r="E12" s="285">
        <f t="shared" si="1"/>
        <v>0</v>
      </c>
      <c r="F12" s="409">
        <f t="shared" si="7"/>
        <v>0</v>
      </c>
      <c r="G12" s="1242">
        <v>0</v>
      </c>
      <c r="H12" s="906">
        <v>0</v>
      </c>
      <c r="I12" s="413">
        <f t="shared" si="8"/>
        <v>0</v>
      </c>
      <c r="J12" s="433">
        <v>0</v>
      </c>
      <c r="K12" s="427">
        <f t="shared" si="9"/>
        <v>0</v>
      </c>
      <c r="L12" s="1220"/>
      <c r="M12" s="587">
        <f t="shared" si="2"/>
        <v>0</v>
      </c>
      <c r="N12" s="435">
        <f t="shared" si="3"/>
        <v>0</v>
      </c>
      <c r="O12" s="499">
        <f t="shared" si="4"/>
        <v>0</v>
      </c>
      <c r="P12" s="435">
        <f t="shared" si="5"/>
        <v>0</v>
      </c>
      <c r="Q12" s="474"/>
      <c r="R12" s="775">
        <f t="shared" si="10"/>
        <v>5</v>
      </c>
      <c r="S12" s="775" t="str">
        <f t="shared" si="11"/>
        <v>keine</v>
      </c>
      <c r="T12" s="901"/>
      <c r="U12" s="900" t="s">
        <v>805</v>
      </c>
      <c r="V12" s="324">
        <v>0</v>
      </c>
      <c r="W12" s="751">
        <f>VLOOKUP(U12,Düngemittel!$B$6:$E$64,2,FALSE)*(VLOOKUP(U12,Düngemittel!$B$6:$E$64,3,FALSE))/100*V12</f>
        <v>0</v>
      </c>
      <c r="X12" s="687">
        <f>VLOOKUP(U12,Düngemittel!$B$6:$E$64,2,FALSE)*V12</f>
        <v>0</v>
      </c>
      <c r="Y12" s="687">
        <f>VLOOKUP(U12,Düngemittel!$B$6:$E$64,4,FALSE)*V12</f>
        <v>0</v>
      </c>
      <c r="Z12" s="666"/>
      <c r="AA12" s="899"/>
      <c r="AB12" s="900" t="s">
        <v>805</v>
      </c>
      <c r="AC12" s="978">
        <v>0</v>
      </c>
      <c r="AD12" s="751">
        <f>VLOOKUP(AB12,Düngemittel!$B$6:$E$64,2,FALSE)*(VLOOKUP(AB12,Düngemittel!$B$6:$E$64,3,FALSE))/100*AC12</f>
        <v>0</v>
      </c>
      <c r="AE12" s="687">
        <f>VLOOKUP(AB12,Düngemittel!$B$6:$E$64,2,FALSE)*AC12</f>
        <v>0</v>
      </c>
      <c r="AF12" s="687">
        <f>VLOOKUP(AB12,Düngemittel!$B$6:$E$64,4,FALSE)*AC12</f>
        <v>0</v>
      </c>
      <c r="AG12" s="666"/>
      <c r="AH12" s="899"/>
      <c r="AI12" s="900" t="s">
        <v>805</v>
      </c>
      <c r="AJ12" s="978">
        <v>0</v>
      </c>
      <c r="AK12" s="751">
        <f>VLOOKUP(AI12,Düngemittel!$B$6:$E$64,2,FALSE)*(VLOOKUP(AI12,Düngemittel!$B$6:$E$64,3,FALSE))/100*AJ12</f>
        <v>0</v>
      </c>
      <c r="AL12" s="687">
        <f>VLOOKUP(AI12,Düngemittel!$B$6:$E$64,2,FALSE)*AJ12</f>
        <v>0</v>
      </c>
      <c r="AM12" s="687">
        <f>VLOOKUP(AI12,Düngemittel!$B$6:$E$64,4,FALSE)*AJ12</f>
        <v>0</v>
      </c>
      <c r="AN12" s="666"/>
      <c r="AO12" s="899"/>
      <c r="AP12" s="900" t="s">
        <v>805</v>
      </c>
      <c r="AQ12" s="978">
        <v>0</v>
      </c>
      <c r="AR12" s="751">
        <f>VLOOKUP(AP12,Düngemittel!$B$6:$E$64,2,FALSE)*(VLOOKUP(AP12,Düngemittel!$B$6:$E$64,3,FALSE))/100*AQ12</f>
        <v>0</v>
      </c>
      <c r="AS12" s="687">
        <f>VLOOKUP(AP12,Düngemittel!$B$6:$E$64,2,FALSE)*AQ12</f>
        <v>0</v>
      </c>
      <c r="AT12" s="687">
        <f>VLOOKUP(AP12,Düngemittel!$B$6:$E$64,4,FALSE)*AQ12</f>
        <v>0</v>
      </c>
      <c r="AU12" s="666"/>
      <c r="AV12" s="899"/>
      <c r="AW12" s="900" t="s">
        <v>805</v>
      </c>
      <c r="AX12" s="978">
        <v>0</v>
      </c>
      <c r="AY12" s="751">
        <f>VLOOKUP(AW12,Düngemittel!$B$6:$E$64,2,FALSE)*(VLOOKUP(AW12,Düngemittel!$B$6:$E$64,3,FALSE))/100*AX12</f>
        <v>0</v>
      </c>
      <c r="AZ12" s="687">
        <f>VLOOKUP(AW12,Düngemittel!$B$6:$E$64,2,FALSE)*AX12</f>
        <v>0</v>
      </c>
      <c r="BA12" s="687">
        <f>VLOOKUP(AW12,Düngemittel!$B$6:$E$64,4,FALSE)*AX12</f>
        <v>0</v>
      </c>
      <c r="BB12" s="666"/>
      <c r="BC12" s="853">
        <f t="shared" si="12"/>
        <v>0</v>
      </c>
      <c r="BD12" s="308">
        <f t="shared" si="13"/>
        <v>0</v>
      </c>
      <c r="BE12" s="853">
        <f t="shared" si="13"/>
        <v>0</v>
      </c>
      <c r="BF12" s="777">
        <f t="shared" si="14"/>
        <v>0</v>
      </c>
      <c r="BG12" s="308">
        <f t="shared" si="15"/>
        <v>0</v>
      </c>
      <c r="BH12" s="785"/>
      <c r="BI12" s="853">
        <f t="shared" si="16"/>
        <v>0</v>
      </c>
      <c r="BJ12" s="853">
        <f t="shared" si="17"/>
        <v>0</v>
      </c>
      <c r="BK12" s="853">
        <f t="shared" si="18"/>
        <v>0</v>
      </c>
      <c r="BL12" s="853">
        <f t="shared" si="19"/>
        <v>0</v>
      </c>
      <c r="BM12" s="853">
        <f t="shared" si="20"/>
        <v>0</v>
      </c>
      <c r="BN12" s="16"/>
      <c r="BO12" s="734" t="s">
        <v>746</v>
      </c>
      <c r="BP12" s="638">
        <v>75</v>
      </c>
      <c r="BQ12" s="638">
        <v>16.2</v>
      </c>
      <c r="BR12" s="638">
        <v>0.8</v>
      </c>
      <c r="BS12" s="739"/>
      <c r="BT12" s="740"/>
      <c r="BU12" s="737"/>
      <c r="BV12" s="739"/>
      <c r="BW12" s="739"/>
      <c r="BX12" s="739"/>
    </row>
    <row r="13" spans="1:76" ht="23.25" customHeight="1" x14ac:dyDescent="0.25">
      <c r="A13" s="342">
        <v>6</v>
      </c>
      <c r="B13" s="1222">
        <v>0</v>
      </c>
      <c r="C13" s="632" t="s">
        <v>31</v>
      </c>
      <c r="D13" s="408">
        <f t="shared" si="0"/>
        <v>0</v>
      </c>
      <c r="E13" s="285">
        <f t="shared" si="1"/>
        <v>0</v>
      </c>
      <c r="F13" s="409">
        <f t="shared" si="7"/>
        <v>0</v>
      </c>
      <c r="G13" s="1242">
        <v>0</v>
      </c>
      <c r="H13" s="906">
        <v>0</v>
      </c>
      <c r="I13" s="413">
        <f t="shared" si="8"/>
        <v>0</v>
      </c>
      <c r="J13" s="433">
        <v>0</v>
      </c>
      <c r="K13" s="427">
        <f t="shared" si="9"/>
        <v>0</v>
      </c>
      <c r="L13" s="1220"/>
      <c r="M13" s="587">
        <f t="shared" si="2"/>
        <v>0</v>
      </c>
      <c r="N13" s="435">
        <f t="shared" si="3"/>
        <v>0</v>
      </c>
      <c r="O13" s="499">
        <f t="shared" si="4"/>
        <v>0</v>
      </c>
      <c r="P13" s="435">
        <f t="shared" si="5"/>
        <v>0</v>
      </c>
      <c r="Q13" s="474"/>
      <c r="R13" s="775">
        <f t="shared" si="10"/>
        <v>6</v>
      </c>
      <c r="S13" s="775" t="str">
        <f t="shared" si="11"/>
        <v>keine</v>
      </c>
      <c r="T13" s="901"/>
      <c r="U13" s="900" t="s">
        <v>805</v>
      </c>
      <c r="V13" s="324">
        <v>0</v>
      </c>
      <c r="W13" s="751">
        <f>VLOOKUP(U13,Düngemittel!$B$6:$E$64,2,FALSE)*(VLOOKUP(U13,Düngemittel!$B$6:$E$64,3,FALSE))/100*V13</f>
        <v>0</v>
      </c>
      <c r="X13" s="687">
        <f>VLOOKUP(U13,Düngemittel!$B$6:$E$64,2,FALSE)*V13</f>
        <v>0</v>
      </c>
      <c r="Y13" s="687">
        <f>VLOOKUP(U13,Düngemittel!$B$6:$E$64,4,FALSE)*V13</f>
        <v>0</v>
      </c>
      <c r="Z13" s="666"/>
      <c r="AA13" s="899"/>
      <c r="AB13" s="900" t="s">
        <v>805</v>
      </c>
      <c r="AC13" s="978">
        <v>0</v>
      </c>
      <c r="AD13" s="751">
        <f>VLOOKUP(AB13,Düngemittel!$B$6:$E$64,2,FALSE)*(VLOOKUP(AB13,Düngemittel!$B$6:$E$64,3,FALSE))/100*AC13</f>
        <v>0</v>
      </c>
      <c r="AE13" s="687">
        <f>VLOOKUP(AB13,Düngemittel!$B$6:$E$64,2,FALSE)*AC13</f>
        <v>0</v>
      </c>
      <c r="AF13" s="687">
        <f>VLOOKUP(AB13,Düngemittel!$B$6:$E$64,4,FALSE)*AC13</f>
        <v>0</v>
      </c>
      <c r="AG13" s="666"/>
      <c r="AH13" s="899"/>
      <c r="AI13" s="900" t="s">
        <v>805</v>
      </c>
      <c r="AJ13" s="978">
        <v>0</v>
      </c>
      <c r="AK13" s="751">
        <f>VLOOKUP(AI13,Düngemittel!$B$6:$E$64,2,FALSE)*(VLOOKUP(AI13,Düngemittel!$B$6:$E$64,3,FALSE))/100*AJ13</f>
        <v>0</v>
      </c>
      <c r="AL13" s="687">
        <f>VLOOKUP(AI13,Düngemittel!$B$6:$E$64,2,FALSE)*AJ13</f>
        <v>0</v>
      </c>
      <c r="AM13" s="687">
        <f>VLOOKUP(AI13,Düngemittel!$B$6:$E$64,4,FALSE)*AJ13</f>
        <v>0</v>
      </c>
      <c r="AN13" s="666"/>
      <c r="AO13" s="899"/>
      <c r="AP13" s="900" t="s">
        <v>805</v>
      </c>
      <c r="AQ13" s="978">
        <v>0</v>
      </c>
      <c r="AR13" s="751">
        <f>VLOOKUP(AP13,Düngemittel!$B$6:$E$64,2,FALSE)*(VLOOKUP(AP13,Düngemittel!$B$6:$E$64,3,FALSE))/100*AQ13</f>
        <v>0</v>
      </c>
      <c r="AS13" s="687">
        <f>VLOOKUP(AP13,Düngemittel!$B$6:$E$64,2,FALSE)*AQ13</f>
        <v>0</v>
      </c>
      <c r="AT13" s="687">
        <f>VLOOKUP(AP13,Düngemittel!$B$6:$E$64,4,FALSE)*AQ13</f>
        <v>0</v>
      </c>
      <c r="AU13" s="666"/>
      <c r="AV13" s="899"/>
      <c r="AW13" s="900" t="s">
        <v>805</v>
      </c>
      <c r="AX13" s="978">
        <v>0</v>
      </c>
      <c r="AY13" s="751">
        <f>VLOOKUP(AW13,Düngemittel!$B$6:$E$64,2,FALSE)*(VLOOKUP(AW13,Düngemittel!$B$6:$E$64,3,FALSE))/100*AX13</f>
        <v>0</v>
      </c>
      <c r="AZ13" s="687">
        <f>VLOOKUP(AW13,Düngemittel!$B$6:$E$64,2,FALSE)*AX13</f>
        <v>0</v>
      </c>
      <c r="BA13" s="687">
        <f>VLOOKUP(AW13,Düngemittel!$B$6:$E$64,4,FALSE)*AX13</f>
        <v>0</v>
      </c>
      <c r="BB13" s="666"/>
      <c r="BC13" s="853">
        <f t="shared" si="12"/>
        <v>0</v>
      </c>
      <c r="BD13" s="308">
        <f t="shared" si="13"/>
        <v>0</v>
      </c>
      <c r="BE13" s="853">
        <f t="shared" si="13"/>
        <v>0</v>
      </c>
      <c r="BF13" s="777">
        <f t="shared" si="14"/>
        <v>0</v>
      </c>
      <c r="BG13" s="308">
        <f t="shared" si="15"/>
        <v>0</v>
      </c>
      <c r="BH13" s="785"/>
      <c r="BI13" s="853">
        <f t="shared" si="16"/>
        <v>0</v>
      </c>
      <c r="BJ13" s="853">
        <f t="shared" si="17"/>
        <v>0</v>
      </c>
      <c r="BK13" s="853">
        <f t="shared" si="18"/>
        <v>0</v>
      </c>
      <c r="BL13" s="853">
        <f t="shared" si="19"/>
        <v>0</v>
      </c>
      <c r="BM13" s="853">
        <f t="shared" si="20"/>
        <v>0</v>
      </c>
      <c r="BN13" s="16"/>
      <c r="BO13" s="735" t="s">
        <v>754</v>
      </c>
      <c r="BP13" s="638">
        <v>45</v>
      </c>
      <c r="BQ13" s="638">
        <v>15</v>
      </c>
      <c r="BR13" s="638">
        <v>0.8</v>
      </c>
      <c r="BS13" s="739"/>
      <c r="BT13" s="740"/>
      <c r="BU13" s="742"/>
      <c r="BV13" s="739"/>
      <c r="BW13" s="739"/>
      <c r="BX13" s="739"/>
    </row>
    <row r="14" spans="1:76" ht="23.25" customHeight="1" x14ac:dyDescent="0.25">
      <c r="A14" s="342">
        <v>7</v>
      </c>
      <c r="B14" s="1222">
        <v>0</v>
      </c>
      <c r="C14" s="632" t="s">
        <v>31</v>
      </c>
      <c r="D14" s="408">
        <f t="shared" si="0"/>
        <v>0</v>
      </c>
      <c r="E14" s="285">
        <f t="shared" si="1"/>
        <v>0</v>
      </c>
      <c r="F14" s="409">
        <f t="shared" si="7"/>
        <v>0</v>
      </c>
      <c r="G14" s="1242">
        <v>0</v>
      </c>
      <c r="H14" s="906">
        <v>0</v>
      </c>
      <c r="I14" s="413">
        <f t="shared" si="8"/>
        <v>0</v>
      </c>
      <c r="J14" s="433">
        <v>0</v>
      </c>
      <c r="K14" s="427">
        <f t="shared" si="9"/>
        <v>0</v>
      </c>
      <c r="L14" s="1220"/>
      <c r="M14" s="587">
        <f t="shared" si="2"/>
        <v>0</v>
      </c>
      <c r="N14" s="435">
        <f t="shared" si="3"/>
        <v>0</v>
      </c>
      <c r="O14" s="499">
        <f t="shared" si="4"/>
        <v>0</v>
      </c>
      <c r="P14" s="435">
        <f t="shared" si="5"/>
        <v>0</v>
      </c>
      <c r="Q14" s="474"/>
      <c r="R14" s="775">
        <f t="shared" si="10"/>
        <v>7</v>
      </c>
      <c r="S14" s="775" t="str">
        <f t="shared" si="11"/>
        <v>keine</v>
      </c>
      <c r="T14" s="901"/>
      <c r="U14" s="900" t="s">
        <v>805</v>
      </c>
      <c r="V14" s="324">
        <v>0</v>
      </c>
      <c r="W14" s="751">
        <f>VLOOKUP(U14,Düngemittel!$B$6:$E$64,2,FALSE)*(VLOOKUP(U14,Düngemittel!$B$6:$E$64,3,FALSE))/100*V14</f>
        <v>0</v>
      </c>
      <c r="X14" s="687">
        <f>VLOOKUP(U14,Düngemittel!$B$6:$E$64,2,FALSE)*V14</f>
        <v>0</v>
      </c>
      <c r="Y14" s="687">
        <f>VLOOKUP(U14,Düngemittel!$B$6:$E$64,4,FALSE)*V14</f>
        <v>0</v>
      </c>
      <c r="Z14" s="666"/>
      <c r="AA14" s="899"/>
      <c r="AB14" s="900" t="s">
        <v>805</v>
      </c>
      <c r="AC14" s="978">
        <v>0</v>
      </c>
      <c r="AD14" s="751">
        <f>VLOOKUP(AB14,Düngemittel!$B$6:$E$64,2,FALSE)*(VLOOKUP(AB14,Düngemittel!$B$6:$E$64,3,FALSE))/100*AC14</f>
        <v>0</v>
      </c>
      <c r="AE14" s="687">
        <f>VLOOKUP(AB14,Düngemittel!$B$6:$E$64,2,FALSE)*AC14</f>
        <v>0</v>
      </c>
      <c r="AF14" s="687">
        <f>VLOOKUP(AB14,Düngemittel!$B$6:$E$64,4,FALSE)*AC14</f>
        <v>0</v>
      </c>
      <c r="AG14" s="666"/>
      <c r="AH14" s="899"/>
      <c r="AI14" s="900" t="s">
        <v>805</v>
      </c>
      <c r="AJ14" s="978">
        <v>0</v>
      </c>
      <c r="AK14" s="751">
        <f>VLOOKUP(AI14,Düngemittel!$B$6:$E$64,2,FALSE)*(VLOOKUP(AI14,Düngemittel!$B$6:$E$64,3,FALSE))/100*AJ14</f>
        <v>0</v>
      </c>
      <c r="AL14" s="687">
        <f>VLOOKUP(AI14,Düngemittel!$B$6:$E$64,2,FALSE)*AJ14</f>
        <v>0</v>
      </c>
      <c r="AM14" s="687">
        <f>VLOOKUP(AI14,Düngemittel!$B$6:$E$64,4,FALSE)*AJ14</f>
        <v>0</v>
      </c>
      <c r="AN14" s="666"/>
      <c r="AO14" s="899"/>
      <c r="AP14" s="900" t="s">
        <v>805</v>
      </c>
      <c r="AQ14" s="978">
        <v>0</v>
      </c>
      <c r="AR14" s="751">
        <f>VLOOKUP(AP14,Düngemittel!$B$6:$E$64,2,FALSE)*(VLOOKUP(AP14,Düngemittel!$B$6:$E$64,3,FALSE))/100*AQ14</f>
        <v>0</v>
      </c>
      <c r="AS14" s="687">
        <f>VLOOKUP(AP14,Düngemittel!$B$6:$E$64,2,FALSE)*AQ14</f>
        <v>0</v>
      </c>
      <c r="AT14" s="687">
        <f>VLOOKUP(AP14,Düngemittel!$B$6:$E$64,4,FALSE)*AQ14</f>
        <v>0</v>
      </c>
      <c r="AU14" s="666"/>
      <c r="AV14" s="899"/>
      <c r="AW14" s="900" t="s">
        <v>805</v>
      </c>
      <c r="AX14" s="978">
        <v>0</v>
      </c>
      <c r="AY14" s="751">
        <f>VLOOKUP(AW14,Düngemittel!$B$6:$E$64,2,FALSE)*(VLOOKUP(AW14,Düngemittel!$B$6:$E$64,3,FALSE))/100*AX14</f>
        <v>0</v>
      </c>
      <c r="AZ14" s="687">
        <f>VLOOKUP(AW14,Düngemittel!$B$6:$E$64,2,FALSE)*AX14</f>
        <v>0</v>
      </c>
      <c r="BA14" s="687">
        <f>VLOOKUP(AW14,Düngemittel!$B$6:$E$64,4,FALSE)*AX14</f>
        <v>0</v>
      </c>
      <c r="BB14" s="666"/>
      <c r="BC14" s="853">
        <f t="shared" si="12"/>
        <v>0</v>
      </c>
      <c r="BD14" s="308">
        <f t="shared" si="13"/>
        <v>0</v>
      </c>
      <c r="BE14" s="853">
        <f t="shared" si="13"/>
        <v>0</v>
      </c>
      <c r="BF14" s="777">
        <f t="shared" si="14"/>
        <v>0</v>
      </c>
      <c r="BG14" s="308">
        <f t="shared" si="15"/>
        <v>0</v>
      </c>
      <c r="BH14" s="785"/>
      <c r="BI14" s="853">
        <f t="shared" si="16"/>
        <v>0</v>
      </c>
      <c r="BJ14" s="853">
        <f t="shared" si="17"/>
        <v>0</v>
      </c>
      <c r="BK14" s="853">
        <f t="shared" si="18"/>
        <v>0</v>
      </c>
      <c r="BL14" s="853">
        <f t="shared" si="19"/>
        <v>0</v>
      </c>
      <c r="BM14" s="853">
        <f t="shared" si="20"/>
        <v>0</v>
      </c>
      <c r="BN14" s="16"/>
      <c r="BO14" s="733" t="s">
        <v>249</v>
      </c>
      <c r="BP14" s="488">
        <v>120</v>
      </c>
      <c r="BQ14" s="488">
        <v>18.2</v>
      </c>
      <c r="BR14" s="488">
        <v>0.75</v>
      </c>
      <c r="BS14" s="739"/>
      <c r="BT14" s="739"/>
      <c r="BU14" s="739"/>
      <c r="BV14" s="739"/>
      <c r="BW14" s="739"/>
      <c r="BX14" s="739"/>
    </row>
    <row r="15" spans="1:76" ht="23.25" customHeight="1" x14ac:dyDescent="0.25">
      <c r="A15" s="342">
        <v>8</v>
      </c>
      <c r="B15" s="1222">
        <v>0</v>
      </c>
      <c r="C15" s="632" t="s">
        <v>31</v>
      </c>
      <c r="D15" s="408">
        <f t="shared" si="0"/>
        <v>0</v>
      </c>
      <c r="E15" s="285">
        <f t="shared" si="1"/>
        <v>0</v>
      </c>
      <c r="F15" s="409">
        <f t="shared" si="7"/>
        <v>0</v>
      </c>
      <c r="G15" s="1242">
        <v>0</v>
      </c>
      <c r="H15" s="906">
        <v>0</v>
      </c>
      <c r="I15" s="413">
        <f t="shared" si="8"/>
        <v>0</v>
      </c>
      <c r="J15" s="433">
        <v>0</v>
      </c>
      <c r="K15" s="427">
        <f t="shared" si="9"/>
        <v>0</v>
      </c>
      <c r="L15" s="1220"/>
      <c r="M15" s="587">
        <f t="shared" si="2"/>
        <v>0</v>
      </c>
      <c r="N15" s="435">
        <f t="shared" si="3"/>
        <v>0</v>
      </c>
      <c r="O15" s="499">
        <f t="shared" si="4"/>
        <v>0</v>
      </c>
      <c r="P15" s="435">
        <f t="shared" si="5"/>
        <v>0</v>
      </c>
      <c r="Q15" s="474"/>
      <c r="R15" s="775">
        <f t="shared" si="10"/>
        <v>8</v>
      </c>
      <c r="S15" s="775" t="str">
        <f t="shared" si="11"/>
        <v>keine</v>
      </c>
      <c r="T15" s="901"/>
      <c r="U15" s="900" t="s">
        <v>805</v>
      </c>
      <c r="V15" s="324">
        <v>0</v>
      </c>
      <c r="W15" s="751">
        <f>VLOOKUP(U15,Düngemittel!$B$6:$E$64,2,FALSE)*(VLOOKUP(U15,Düngemittel!$B$6:$E$64,3,FALSE))/100*V15</f>
        <v>0</v>
      </c>
      <c r="X15" s="687">
        <f>VLOOKUP(U15,Düngemittel!$B$6:$E$64,2,FALSE)*V15</f>
        <v>0</v>
      </c>
      <c r="Y15" s="687">
        <f>VLOOKUP(U15,Düngemittel!$B$6:$E$64,4,FALSE)*V15</f>
        <v>0</v>
      </c>
      <c r="Z15" s="666"/>
      <c r="AA15" s="899"/>
      <c r="AB15" s="900" t="s">
        <v>805</v>
      </c>
      <c r="AC15" s="978">
        <v>0</v>
      </c>
      <c r="AD15" s="751">
        <f>VLOOKUP(AB15,Düngemittel!$B$6:$E$64,2,FALSE)*(VLOOKUP(AB15,Düngemittel!$B$6:$E$64,3,FALSE))/100*AC15</f>
        <v>0</v>
      </c>
      <c r="AE15" s="687">
        <f>VLOOKUP(AB15,Düngemittel!$B$6:$E$64,2,FALSE)*AC15</f>
        <v>0</v>
      </c>
      <c r="AF15" s="687">
        <f>VLOOKUP(AB15,Düngemittel!$B$6:$E$64,4,FALSE)*AC15</f>
        <v>0</v>
      </c>
      <c r="AG15" s="666"/>
      <c r="AH15" s="899"/>
      <c r="AI15" s="900" t="s">
        <v>805</v>
      </c>
      <c r="AJ15" s="978">
        <v>0</v>
      </c>
      <c r="AK15" s="751">
        <f>VLOOKUP(AI15,Düngemittel!$B$6:$E$64,2,FALSE)*(VLOOKUP(AI15,Düngemittel!$B$6:$E$64,3,FALSE))/100*AJ15</f>
        <v>0</v>
      </c>
      <c r="AL15" s="687">
        <f>VLOOKUP(AI15,Düngemittel!$B$6:$E$64,2,FALSE)*AJ15</f>
        <v>0</v>
      </c>
      <c r="AM15" s="687">
        <f>VLOOKUP(AI15,Düngemittel!$B$6:$E$64,4,FALSE)*AJ15</f>
        <v>0</v>
      </c>
      <c r="AN15" s="666"/>
      <c r="AO15" s="899"/>
      <c r="AP15" s="900" t="s">
        <v>805</v>
      </c>
      <c r="AQ15" s="978">
        <v>0</v>
      </c>
      <c r="AR15" s="751">
        <f>VLOOKUP(AP15,Düngemittel!$B$6:$E$64,2,FALSE)*(VLOOKUP(AP15,Düngemittel!$B$6:$E$64,3,FALSE))/100*AQ15</f>
        <v>0</v>
      </c>
      <c r="AS15" s="687">
        <f>VLOOKUP(AP15,Düngemittel!$B$6:$E$64,2,FALSE)*AQ15</f>
        <v>0</v>
      </c>
      <c r="AT15" s="687">
        <f>VLOOKUP(AP15,Düngemittel!$B$6:$E$64,4,FALSE)*AQ15</f>
        <v>0</v>
      </c>
      <c r="AU15" s="666"/>
      <c r="AV15" s="899"/>
      <c r="AW15" s="900" t="s">
        <v>805</v>
      </c>
      <c r="AX15" s="978">
        <v>0</v>
      </c>
      <c r="AY15" s="751">
        <f>VLOOKUP(AW15,Düngemittel!$B$6:$E$64,2,FALSE)*(VLOOKUP(AW15,Düngemittel!$B$6:$E$64,3,FALSE))/100*AX15</f>
        <v>0</v>
      </c>
      <c r="AZ15" s="687">
        <f>VLOOKUP(AW15,Düngemittel!$B$6:$E$64,2,FALSE)*AX15</f>
        <v>0</v>
      </c>
      <c r="BA15" s="687">
        <f>VLOOKUP(AW15,Düngemittel!$B$6:$E$64,4,FALSE)*AX15</f>
        <v>0</v>
      </c>
      <c r="BB15" s="666"/>
      <c r="BC15" s="853">
        <f t="shared" si="12"/>
        <v>0</v>
      </c>
      <c r="BD15" s="308">
        <f t="shared" si="13"/>
        <v>0</v>
      </c>
      <c r="BE15" s="853">
        <f t="shared" si="13"/>
        <v>0</v>
      </c>
      <c r="BF15" s="777">
        <f t="shared" si="14"/>
        <v>0</v>
      </c>
      <c r="BG15" s="308">
        <f t="shared" si="15"/>
        <v>0</v>
      </c>
      <c r="BH15" s="785"/>
      <c r="BI15" s="853">
        <f t="shared" si="16"/>
        <v>0</v>
      </c>
      <c r="BJ15" s="853">
        <f t="shared" si="17"/>
        <v>0</v>
      </c>
      <c r="BK15" s="853">
        <f t="shared" si="18"/>
        <v>0</v>
      </c>
      <c r="BL15" s="853">
        <f t="shared" si="19"/>
        <v>0</v>
      </c>
      <c r="BM15" s="853">
        <f t="shared" si="20"/>
        <v>0</v>
      </c>
      <c r="BN15" s="16"/>
      <c r="BO15" s="733" t="s">
        <v>247</v>
      </c>
      <c r="BP15" s="488">
        <v>110</v>
      </c>
      <c r="BQ15" s="488">
        <v>20.5</v>
      </c>
      <c r="BR15" s="488">
        <v>0.7</v>
      </c>
      <c r="BS15" s="739"/>
      <c r="BT15" s="739"/>
      <c r="BU15" s="739"/>
      <c r="BV15" s="739"/>
      <c r="BW15" s="739"/>
      <c r="BX15" s="739"/>
    </row>
    <row r="16" spans="1:76" ht="23.25" customHeight="1" x14ac:dyDescent="0.25">
      <c r="A16" s="342">
        <v>9</v>
      </c>
      <c r="B16" s="1222">
        <v>0</v>
      </c>
      <c r="C16" s="632" t="s">
        <v>31</v>
      </c>
      <c r="D16" s="408">
        <f t="shared" si="0"/>
        <v>0</v>
      </c>
      <c r="E16" s="285">
        <f t="shared" si="1"/>
        <v>0</v>
      </c>
      <c r="F16" s="409">
        <f t="shared" si="7"/>
        <v>0</v>
      </c>
      <c r="G16" s="1242">
        <v>0</v>
      </c>
      <c r="H16" s="906">
        <v>0</v>
      </c>
      <c r="I16" s="413">
        <f t="shared" si="8"/>
        <v>0</v>
      </c>
      <c r="J16" s="433">
        <v>0</v>
      </c>
      <c r="K16" s="427">
        <f t="shared" si="9"/>
        <v>0</v>
      </c>
      <c r="L16" s="1220"/>
      <c r="M16" s="587">
        <f t="shared" si="2"/>
        <v>0</v>
      </c>
      <c r="N16" s="435">
        <f t="shared" si="3"/>
        <v>0</v>
      </c>
      <c r="O16" s="499">
        <f t="shared" si="4"/>
        <v>0</v>
      </c>
      <c r="P16" s="435">
        <f t="shared" si="5"/>
        <v>0</v>
      </c>
      <c r="Q16" s="474"/>
      <c r="R16" s="775">
        <f t="shared" si="10"/>
        <v>9</v>
      </c>
      <c r="S16" s="775" t="str">
        <f t="shared" si="11"/>
        <v>keine</v>
      </c>
      <c r="T16" s="901"/>
      <c r="U16" s="900" t="s">
        <v>805</v>
      </c>
      <c r="V16" s="324">
        <v>0</v>
      </c>
      <c r="W16" s="751">
        <f>VLOOKUP(U16,Düngemittel!$B$6:$E$64,2,FALSE)*(VLOOKUP(U16,Düngemittel!$B$6:$E$64,3,FALSE))/100*V16</f>
        <v>0</v>
      </c>
      <c r="X16" s="687">
        <f>VLOOKUP(U16,Düngemittel!$B$6:$E$64,2,FALSE)*V16</f>
        <v>0</v>
      </c>
      <c r="Y16" s="687">
        <f>VLOOKUP(U16,Düngemittel!$B$6:$E$64,4,FALSE)*V16</f>
        <v>0</v>
      </c>
      <c r="Z16" s="666"/>
      <c r="AA16" s="899"/>
      <c r="AB16" s="900" t="s">
        <v>805</v>
      </c>
      <c r="AC16" s="978">
        <v>0</v>
      </c>
      <c r="AD16" s="751">
        <f>VLOOKUP(AB16,Düngemittel!$B$6:$E$64,2,FALSE)*(VLOOKUP(AB16,Düngemittel!$B$6:$E$64,3,FALSE))/100*AC16</f>
        <v>0</v>
      </c>
      <c r="AE16" s="687">
        <f>VLOOKUP(AB16,Düngemittel!$B$6:$E$64,2,FALSE)*AC16</f>
        <v>0</v>
      </c>
      <c r="AF16" s="687">
        <f>VLOOKUP(AB16,Düngemittel!$B$6:$E$64,4,FALSE)*AC16</f>
        <v>0</v>
      </c>
      <c r="AG16" s="666"/>
      <c r="AH16" s="899"/>
      <c r="AI16" s="900" t="s">
        <v>805</v>
      </c>
      <c r="AJ16" s="978">
        <v>0</v>
      </c>
      <c r="AK16" s="751">
        <f>VLOOKUP(AI16,Düngemittel!$B$6:$E$64,2,FALSE)*(VLOOKUP(AI16,Düngemittel!$B$6:$E$64,3,FALSE))/100*AJ16</f>
        <v>0</v>
      </c>
      <c r="AL16" s="687">
        <f>VLOOKUP(AI16,Düngemittel!$B$6:$E$64,2,FALSE)*AJ16</f>
        <v>0</v>
      </c>
      <c r="AM16" s="687">
        <f>VLOOKUP(AI16,Düngemittel!$B$6:$E$64,4,FALSE)*AJ16</f>
        <v>0</v>
      </c>
      <c r="AN16" s="666"/>
      <c r="AO16" s="899"/>
      <c r="AP16" s="900" t="s">
        <v>805</v>
      </c>
      <c r="AQ16" s="978">
        <v>0</v>
      </c>
      <c r="AR16" s="751">
        <f>VLOOKUP(AP16,Düngemittel!$B$6:$E$64,2,FALSE)*(VLOOKUP(AP16,Düngemittel!$B$6:$E$64,3,FALSE))/100*AQ16</f>
        <v>0</v>
      </c>
      <c r="AS16" s="687">
        <f>VLOOKUP(AP16,Düngemittel!$B$6:$E$64,2,FALSE)*AQ16</f>
        <v>0</v>
      </c>
      <c r="AT16" s="687">
        <f>VLOOKUP(AP16,Düngemittel!$B$6:$E$64,4,FALSE)*AQ16</f>
        <v>0</v>
      </c>
      <c r="AU16" s="666"/>
      <c r="AV16" s="899"/>
      <c r="AW16" s="900" t="s">
        <v>805</v>
      </c>
      <c r="AX16" s="978">
        <v>0</v>
      </c>
      <c r="AY16" s="751">
        <f>VLOOKUP(AW16,Düngemittel!$B$6:$E$64,2,FALSE)*(VLOOKUP(AW16,Düngemittel!$B$6:$E$64,3,FALSE))/100*AX16</f>
        <v>0</v>
      </c>
      <c r="AZ16" s="687">
        <f>VLOOKUP(AW16,Düngemittel!$B$6:$E$64,2,FALSE)*AX16</f>
        <v>0</v>
      </c>
      <c r="BA16" s="687">
        <f>VLOOKUP(AW16,Düngemittel!$B$6:$E$64,4,FALSE)*AX16</f>
        <v>0</v>
      </c>
      <c r="BB16" s="666"/>
      <c r="BC16" s="853">
        <f t="shared" si="12"/>
        <v>0</v>
      </c>
      <c r="BD16" s="308">
        <f t="shared" si="13"/>
        <v>0</v>
      </c>
      <c r="BE16" s="853">
        <f t="shared" si="13"/>
        <v>0</v>
      </c>
      <c r="BF16" s="777">
        <f t="shared" si="14"/>
        <v>0</v>
      </c>
      <c r="BG16" s="308">
        <f t="shared" si="15"/>
        <v>0</v>
      </c>
      <c r="BH16" s="785"/>
      <c r="BI16" s="853">
        <f t="shared" si="16"/>
        <v>0</v>
      </c>
      <c r="BJ16" s="853">
        <f t="shared" si="17"/>
        <v>0</v>
      </c>
      <c r="BK16" s="853">
        <f t="shared" si="18"/>
        <v>0</v>
      </c>
      <c r="BL16" s="853">
        <f t="shared" si="19"/>
        <v>0</v>
      </c>
      <c r="BM16" s="853">
        <f t="shared" si="20"/>
        <v>0</v>
      </c>
      <c r="BN16" s="16"/>
      <c r="BO16" s="743" t="s">
        <v>682</v>
      </c>
      <c r="BP16" s="99">
        <v>120</v>
      </c>
      <c r="BQ16" s="99">
        <v>7</v>
      </c>
      <c r="BR16" s="488">
        <v>0.51</v>
      </c>
      <c r="BS16" s="739"/>
      <c r="BT16" s="739"/>
      <c r="BU16" s="739"/>
      <c r="BV16" s="739"/>
      <c r="BW16" s="739"/>
      <c r="BX16" s="739"/>
    </row>
    <row r="17" spans="1:76" ht="23.25" customHeight="1" x14ac:dyDescent="0.25">
      <c r="A17" s="342">
        <v>10</v>
      </c>
      <c r="B17" s="1222">
        <v>0</v>
      </c>
      <c r="C17" s="632" t="s">
        <v>31</v>
      </c>
      <c r="D17" s="408">
        <f t="shared" si="0"/>
        <v>0</v>
      </c>
      <c r="E17" s="285">
        <f t="shared" si="1"/>
        <v>0</v>
      </c>
      <c r="F17" s="409">
        <f t="shared" si="7"/>
        <v>0</v>
      </c>
      <c r="G17" s="1242">
        <v>0</v>
      </c>
      <c r="H17" s="906">
        <v>0</v>
      </c>
      <c r="I17" s="413">
        <f t="shared" si="8"/>
        <v>0</v>
      </c>
      <c r="J17" s="433">
        <v>0</v>
      </c>
      <c r="K17" s="427">
        <f t="shared" si="9"/>
        <v>0</v>
      </c>
      <c r="L17" s="1220"/>
      <c r="M17" s="587">
        <f t="shared" si="2"/>
        <v>0</v>
      </c>
      <c r="N17" s="435">
        <f t="shared" si="3"/>
        <v>0</v>
      </c>
      <c r="O17" s="499">
        <f t="shared" si="4"/>
        <v>0</v>
      </c>
      <c r="P17" s="435">
        <f t="shared" si="5"/>
        <v>0</v>
      </c>
      <c r="Q17" s="474"/>
      <c r="R17" s="775">
        <f t="shared" si="10"/>
        <v>10</v>
      </c>
      <c r="S17" s="775" t="str">
        <f t="shared" si="11"/>
        <v>keine</v>
      </c>
      <c r="T17" s="901"/>
      <c r="U17" s="900" t="s">
        <v>805</v>
      </c>
      <c r="V17" s="324">
        <v>0</v>
      </c>
      <c r="W17" s="751">
        <f>VLOOKUP(U17,Düngemittel!$B$6:$E$64,2,FALSE)*(VLOOKUP(U17,Düngemittel!$B$6:$E$64,3,FALSE))/100*V17</f>
        <v>0</v>
      </c>
      <c r="X17" s="687">
        <f>VLOOKUP(U17,Düngemittel!$B$6:$E$64,2,FALSE)*V17</f>
        <v>0</v>
      </c>
      <c r="Y17" s="687">
        <f>VLOOKUP(U17,Düngemittel!$B$6:$E$64,4,FALSE)*V17</f>
        <v>0</v>
      </c>
      <c r="Z17" s="666"/>
      <c r="AA17" s="899"/>
      <c r="AB17" s="900" t="s">
        <v>805</v>
      </c>
      <c r="AC17" s="978">
        <v>0</v>
      </c>
      <c r="AD17" s="751">
        <f>VLOOKUP(AB17,Düngemittel!$B$6:$E$64,2,FALSE)*(VLOOKUP(AB17,Düngemittel!$B$6:$E$64,3,FALSE))/100*AC17</f>
        <v>0</v>
      </c>
      <c r="AE17" s="687">
        <f>VLOOKUP(AB17,Düngemittel!$B$6:$E$64,2,FALSE)*AC17</f>
        <v>0</v>
      </c>
      <c r="AF17" s="687">
        <f>VLOOKUP(AB17,Düngemittel!$B$6:$E$64,4,FALSE)*AC17</f>
        <v>0</v>
      </c>
      <c r="AG17" s="666"/>
      <c r="AH17" s="899"/>
      <c r="AI17" s="900" t="s">
        <v>805</v>
      </c>
      <c r="AJ17" s="978">
        <v>0</v>
      </c>
      <c r="AK17" s="751">
        <f>VLOOKUP(AI17,Düngemittel!$B$6:$E$64,2,FALSE)*(VLOOKUP(AI17,Düngemittel!$B$6:$E$64,3,FALSE))/100*AJ17</f>
        <v>0</v>
      </c>
      <c r="AL17" s="687">
        <f>VLOOKUP(AI17,Düngemittel!$B$6:$E$64,2,FALSE)*AJ17</f>
        <v>0</v>
      </c>
      <c r="AM17" s="687">
        <f>VLOOKUP(AI17,Düngemittel!$B$6:$E$64,4,FALSE)*AJ17</f>
        <v>0</v>
      </c>
      <c r="AN17" s="666"/>
      <c r="AO17" s="899"/>
      <c r="AP17" s="900" t="s">
        <v>805</v>
      </c>
      <c r="AQ17" s="978">
        <v>0</v>
      </c>
      <c r="AR17" s="751">
        <f>VLOOKUP(AP17,Düngemittel!$B$6:$E$64,2,FALSE)*(VLOOKUP(AP17,Düngemittel!$B$6:$E$64,3,FALSE))/100*AQ17</f>
        <v>0</v>
      </c>
      <c r="AS17" s="687">
        <f>VLOOKUP(AP17,Düngemittel!$B$6:$E$64,2,FALSE)*AQ17</f>
        <v>0</v>
      </c>
      <c r="AT17" s="687">
        <f>VLOOKUP(AP17,Düngemittel!$B$6:$E$64,4,FALSE)*AQ17</f>
        <v>0</v>
      </c>
      <c r="AU17" s="666"/>
      <c r="AV17" s="899"/>
      <c r="AW17" s="900" t="s">
        <v>805</v>
      </c>
      <c r="AX17" s="978">
        <v>0</v>
      </c>
      <c r="AY17" s="751">
        <f>VLOOKUP(AW17,Düngemittel!$B$6:$E$64,2,FALSE)*(VLOOKUP(AW17,Düngemittel!$B$6:$E$64,3,FALSE))/100*AX17</f>
        <v>0</v>
      </c>
      <c r="AZ17" s="687">
        <f>VLOOKUP(AW17,Düngemittel!$B$6:$E$64,2,FALSE)*AX17</f>
        <v>0</v>
      </c>
      <c r="BA17" s="687">
        <f>VLOOKUP(AW17,Düngemittel!$B$6:$E$64,4,FALSE)*AX17</f>
        <v>0</v>
      </c>
      <c r="BB17" s="666"/>
      <c r="BC17" s="853">
        <f t="shared" si="12"/>
        <v>0</v>
      </c>
      <c r="BD17" s="308">
        <f t="shared" si="13"/>
        <v>0</v>
      </c>
      <c r="BE17" s="853">
        <f t="shared" si="13"/>
        <v>0</v>
      </c>
      <c r="BF17" s="777">
        <f t="shared" si="14"/>
        <v>0</v>
      </c>
      <c r="BG17" s="308">
        <f t="shared" si="15"/>
        <v>0</v>
      </c>
      <c r="BH17" s="785"/>
      <c r="BI17" s="853">
        <f t="shared" si="16"/>
        <v>0</v>
      </c>
      <c r="BJ17" s="853">
        <f t="shared" si="17"/>
        <v>0</v>
      </c>
      <c r="BK17" s="853">
        <f t="shared" si="18"/>
        <v>0</v>
      </c>
      <c r="BL17" s="853">
        <f t="shared" si="19"/>
        <v>0</v>
      </c>
      <c r="BM17" s="853">
        <f t="shared" si="20"/>
        <v>0</v>
      </c>
      <c r="BN17" s="16"/>
      <c r="BO17" s="743" t="s">
        <v>756</v>
      </c>
      <c r="BP17" s="99"/>
      <c r="BQ17" s="99"/>
      <c r="BS17" s="739"/>
      <c r="BT17" s="739"/>
      <c r="BU17" s="739"/>
      <c r="BV17" s="739"/>
      <c r="BW17" s="739"/>
      <c r="BX17" s="739"/>
    </row>
    <row r="18" spans="1:76" ht="23.25" customHeight="1" x14ac:dyDescent="0.25">
      <c r="A18" s="342">
        <v>11</v>
      </c>
      <c r="B18" s="1222">
        <v>0</v>
      </c>
      <c r="C18" s="632" t="s">
        <v>31</v>
      </c>
      <c r="D18" s="408">
        <f t="shared" si="0"/>
        <v>0</v>
      </c>
      <c r="E18" s="285">
        <f t="shared" si="1"/>
        <v>0</v>
      </c>
      <c r="F18" s="409">
        <f t="shared" si="7"/>
        <v>0</v>
      </c>
      <c r="G18" s="1242">
        <v>0</v>
      </c>
      <c r="H18" s="906">
        <v>0</v>
      </c>
      <c r="I18" s="413">
        <f t="shared" si="8"/>
        <v>0</v>
      </c>
      <c r="J18" s="433">
        <v>0</v>
      </c>
      <c r="K18" s="427">
        <f t="shared" si="9"/>
        <v>0</v>
      </c>
      <c r="L18" s="1220"/>
      <c r="M18" s="587">
        <f t="shared" si="2"/>
        <v>0</v>
      </c>
      <c r="N18" s="435">
        <f t="shared" si="3"/>
        <v>0</v>
      </c>
      <c r="O18" s="499">
        <f t="shared" si="4"/>
        <v>0</v>
      </c>
      <c r="P18" s="435">
        <f t="shared" si="5"/>
        <v>0</v>
      </c>
      <c r="Q18" s="474"/>
      <c r="R18" s="775">
        <f t="shared" si="10"/>
        <v>11</v>
      </c>
      <c r="S18" s="775" t="str">
        <f t="shared" si="11"/>
        <v>keine</v>
      </c>
      <c r="T18" s="901"/>
      <c r="U18" s="900" t="s">
        <v>805</v>
      </c>
      <c r="V18" s="324">
        <v>0</v>
      </c>
      <c r="W18" s="751">
        <f>VLOOKUP(U18,Düngemittel!$B$6:$E$64,2,FALSE)*(VLOOKUP(U18,Düngemittel!$B$6:$E$64,3,FALSE))/100*V18</f>
        <v>0</v>
      </c>
      <c r="X18" s="687">
        <f>VLOOKUP(U18,Düngemittel!$B$6:$E$64,2,FALSE)*V18</f>
        <v>0</v>
      </c>
      <c r="Y18" s="687">
        <f>VLOOKUP(U18,Düngemittel!$B$6:$E$64,4,FALSE)*V18</f>
        <v>0</v>
      </c>
      <c r="Z18" s="666"/>
      <c r="AA18" s="899"/>
      <c r="AB18" s="900" t="s">
        <v>805</v>
      </c>
      <c r="AC18" s="978">
        <v>0</v>
      </c>
      <c r="AD18" s="751">
        <f>VLOOKUP(AB18,Düngemittel!$B$6:$E$64,2,FALSE)*(VLOOKUP(AB18,Düngemittel!$B$6:$E$64,3,FALSE))/100*AC18</f>
        <v>0</v>
      </c>
      <c r="AE18" s="687">
        <f>VLOOKUP(AB18,Düngemittel!$B$6:$E$64,2,FALSE)*AC18</f>
        <v>0</v>
      </c>
      <c r="AF18" s="687">
        <f>VLOOKUP(AB18,Düngemittel!$B$6:$E$64,4,FALSE)*AC18</f>
        <v>0</v>
      </c>
      <c r="AG18" s="666"/>
      <c r="AH18" s="899"/>
      <c r="AI18" s="900" t="s">
        <v>805</v>
      </c>
      <c r="AJ18" s="978">
        <v>0</v>
      </c>
      <c r="AK18" s="751">
        <f>VLOOKUP(AI18,Düngemittel!$B$6:$E$64,2,FALSE)*(VLOOKUP(AI18,Düngemittel!$B$6:$E$64,3,FALSE))/100*AJ18</f>
        <v>0</v>
      </c>
      <c r="AL18" s="687">
        <f>VLOOKUP(AI18,Düngemittel!$B$6:$E$64,2,FALSE)*AJ18</f>
        <v>0</v>
      </c>
      <c r="AM18" s="687">
        <f>VLOOKUP(AI18,Düngemittel!$B$6:$E$64,4,FALSE)*AJ18</f>
        <v>0</v>
      </c>
      <c r="AN18" s="666"/>
      <c r="AO18" s="899"/>
      <c r="AP18" s="900" t="s">
        <v>805</v>
      </c>
      <c r="AQ18" s="978">
        <v>0</v>
      </c>
      <c r="AR18" s="751">
        <f>VLOOKUP(AP18,Düngemittel!$B$6:$E$64,2,FALSE)*(VLOOKUP(AP18,Düngemittel!$B$6:$E$64,3,FALSE))/100*AQ18</f>
        <v>0</v>
      </c>
      <c r="AS18" s="687">
        <f>VLOOKUP(AP18,Düngemittel!$B$6:$E$64,2,FALSE)*AQ18</f>
        <v>0</v>
      </c>
      <c r="AT18" s="687">
        <f>VLOOKUP(AP18,Düngemittel!$B$6:$E$64,4,FALSE)*AQ18</f>
        <v>0</v>
      </c>
      <c r="AU18" s="666"/>
      <c r="AV18" s="899"/>
      <c r="AW18" s="900" t="s">
        <v>805</v>
      </c>
      <c r="AX18" s="978">
        <v>0</v>
      </c>
      <c r="AY18" s="751">
        <f>VLOOKUP(AW18,Düngemittel!$B$6:$E$64,2,FALSE)*(VLOOKUP(AW18,Düngemittel!$B$6:$E$64,3,FALSE))/100*AX18</f>
        <v>0</v>
      </c>
      <c r="AZ18" s="687">
        <f>VLOOKUP(AW18,Düngemittel!$B$6:$E$64,2,FALSE)*AX18</f>
        <v>0</v>
      </c>
      <c r="BA18" s="687">
        <f>VLOOKUP(AW18,Düngemittel!$B$6:$E$64,4,FALSE)*AX18</f>
        <v>0</v>
      </c>
      <c r="BB18" s="666"/>
      <c r="BC18" s="853">
        <f t="shared" si="12"/>
        <v>0</v>
      </c>
      <c r="BD18" s="308">
        <f t="shared" si="13"/>
        <v>0</v>
      </c>
      <c r="BE18" s="853">
        <f t="shared" si="13"/>
        <v>0</v>
      </c>
      <c r="BF18" s="777">
        <f t="shared" si="14"/>
        <v>0</v>
      </c>
      <c r="BG18" s="308">
        <f t="shared" si="15"/>
        <v>0</v>
      </c>
      <c r="BH18" s="785"/>
      <c r="BI18" s="853">
        <f t="shared" si="16"/>
        <v>0</v>
      </c>
      <c r="BJ18" s="853">
        <f t="shared" si="17"/>
        <v>0</v>
      </c>
      <c r="BK18" s="853">
        <f t="shared" si="18"/>
        <v>0</v>
      </c>
      <c r="BL18" s="853">
        <f t="shared" si="19"/>
        <v>0</v>
      </c>
      <c r="BM18" s="853">
        <f t="shared" si="20"/>
        <v>0</v>
      </c>
      <c r="BN18" s="16"/>
      <c r="BO18" s="735" t="s">
        <v>754</v>
      </c>
      <c r="BP18" s="638">
        <v>45</v>
      </c>
      <c r="BQ18" s="638">
        <v>15</v>
      </c>
      <c r="BR18" s="638">
        <v>0.8</v>
      </c>
      <c r="BS18" s="739"/>
      <c r="BT18" s="740"/>
      <c r="BU18" s="742"/>
      <c r="BV18" s="739"/>
      <c r="BW18" s="739"/>
      <c r="BX18" s="739"/>
    </row>
    <row r="19" spans="1:76" ht="23.25" customHeight="1" x14ac:dyDescent="0.25">
      <c r="A19" s="342">
        <v>12</v>
      </c>
      <c r="B19" s="1222">
        <v>0</v>
      </c>
      <c r="C19" s="632" t="s">
        <v>31</v>
      </c>
      <c r="D19" s="408">
        <f t="shared" si="0"/>
        <v>0</v>
      </c>
      <c r="E19" s="285">
        <f t="shared" si="1"/>
        <v>0</v>
      </c>
      <c r="F19" s="409">
        <f t="shared" si="7"/>
        <v>0</v>
      </c>
      <c r="G19" s="1242">
        <v>0</v>
      </c>
      <c r="H19" s="906">
        <v>0</v>
      </c>
      <c r="I19" s="413">
        <f t="shared" si="8"/>
        <v>0</v>
      </c>
      <c r="J19" s="433">
        <v>0</v>
      </c>
      <c r="K19" s="427">
        <f t="shared" si="9"/>
        <v>0</v>
      </c>
      <c r="L19" s="1220"/>
      <c r="M19" s="587">
        <f t="shared" si="2"/>
        <v>0</v>
      </c>
      <c r="N19" s="435">
        <f t="shared" si="3"/>
        <v>0</v>
      </c>
      <c r="O19" s="499">
        <f t="shared" si="4"/>
        <v>0</v>
      </c>
      <c r="P19" s="435">
        <f t="shared" si="5"/>
        <v>0</v>
      </c>
      <c r="Q19" s="474"/>
      <c r="R19" s="775">
        <f t="shared" si="10"/>
        <v>12</v>
      </c>
      <c r="S19" s="775" t="str">
        <f t="shared" si="11"/>
        <v>keine</v>
      </c>
      <c r="T19" s="901"/>
      <c r="U19" s="900" t="s">
        <v>805</v>
      </c>
      <c r="V19" s="324">
        <v>0</v>
      </c>
      <c r="W19" s="751">
        <f>VLOOKUP(U19,Düngemittel!$B$6:$E$64,2,FALSE)*(VLOOKUP(U19,Düngemittel!$B$6:$E$64,3,FALSE))/100*V19</f>
        <v>0</v>
      </c>
      <c r="X19" s="687">
        <f>VLOOKUP(U19,Düngemittel!$B$6:$E$64,2,FALSE)*V19</f>
        <v>0</v>
      </c>
      <c r="Y19" s="687">
        <f>VLOOKUP(U19,Düngemittel!$B$6:$E$64,4,FALSE)*V19</f>
        <v>0</v>
      </c>
      <c r="Z19" s="666"/>
      <c r="AA19" s="899"/>
      <c r="AB19" s="900" t="s">
        <v>805</v>
      </c>
      <c r="AC19" s="978">
        <v>0</v>
      </c>
      <c r="AD19" s="751">
        <f>VLOOKUP(AB19,Düngemittel!$B$6:$E$64,2,FALSE)*(VLOOKUP(AB19,Düngemittel!$B$6:$E$64,3,FALSE))/100*AC19</f>
        <v>0</v>
      </c>
      <c r="AE19" s="687">
        <f>VLOOKUP(AB19,Düngemittel!$B$6:$E$64,2,FALSE)*AC19</f>
        <v>0</v>
      </c>
      <c r="AF19" s="687">
        <f>VLOOKUP(AB19,Düngemittel!$B$6:$E$64,4,FALSE)*AC19</f>
        <v>0</v>
      </c>
      <c r="AG19" s="666"/>
      <c r="AH19" s="899"/>
      <c r="AI19" s="900" t="s">
        <v>805</v>
      </c>
      <c r="AJ19" s="978">
        <v>0</v>
      </c>
      <c r="AK19" s="751">
        <f>VLOOKUP(AI19,Düngemittel!$B$6:$E$64,2,FALSE)*(VLOOKUP(AI19,Düngemittel!$B$6:$E$64,3,FALSE))/100*AJ19</f>
        <v>0</v>
      </c>
      <c r="AL19" s="687">
        <f>VLOOKUP(AI19,Düngemittel!$B$6:$E$64,2,FALSE)*AJ19</f>
        <v>0</v>
      </c>
      <c r="AM19" s="687">
        <f>VLOOKUP(AI19,Düngemittel!$B$6:$E$64,4,FALSE)*AJ19</f>
        <v>0</v>
      </c>
      <c r="AN19" s="666"/>
      <c r="AO19" s="899"/>
      <c r="AP19" s="900" t="s">
        <v>805</v>
      </c>
      <c r="AQ19" s="978">
        <v>0</v>
      </c>
      <c r="AR19" s="751">
        <f>VLOOKUP(AP19,Düngemittel!$B$6:$E$64,2,FALSE)*(VLOOKUP(AP19,Düngemittel!$B$6:$E$64,3,FALSE))/100*AQ19</f>
        <v>0</v>
      </c>
      <c r="AS19" s="687">
        <f>VLOOKUP(AP19,Düngemittel!$B$6:$E$64,2,FALSE)*AQ19</f>
        <v>0</v>
      </c>
      <c r="AT19" s="687">
        <f>VLOOKUP(AP19,Düngemittel!$B$6:$E$64,4,FALSE)*AQ19</f>
        <v>0</v>
      </c>
      <c r="AU19" s="666"/>
      <c r="AV19" s="899"/>
      <c r="AW19" s="900" t="s">
        <v>805</v>
      </c>
      <c r="AX19" s="978">
        <v>0</v>
      </c>
      <c r="AY19" s="751">
        <f>VLOOKUP(AW19,Düngemittel!$B$6:$E$64,2,FALSE)*(VLOOKUP(AW19,Düngemittel!$B$6:$E$64,3,FALSE))/100*AX19</f>
        <v>0</v>
      </c>
      <c r="AZ19" s="687">
        <f>VLOOKUP(AW19,Düngemittel!$B$6:$E$64,2,FALSE)*AX19</f>
        <v>0</v>
      </c>
      <c r="BA19" s="687">
        <f>VLOOKUP(AW19,Düngemittel!$B$6:$E$64,4,FALSE)*AX19</f>
        <v>0</v>
      </c>
      <c r="BB19" s="666"/>
      <c r="BC19" s="853">
        <f t="shared" si="12"/>
        <v>0</v>
      </c>
      <c r="BD19" s="308">
        <f t="shared" si="13"/>
        <v>0</v>
      </c>
      <c r="BE19" s="853">
        <f t="shared" si="13"/>
        <v>0</v>
      </c>
      <c r="BF19" s="777">
        <f t="shared" si="14"/>
        <v>0</v>
      </c>
      <c r="BG19" s="308">
        <f t="shared" si="15"/>
        <v>0</v>
      </c>
      <c r="BH19" s="785"/>
      <c r="BI19" s="853">
        <f t="shared" si="16"/>
        <v>0</v>
      </c>
      <c r="BJ19" s="853">
        <f t="shared" si="17"/>
        <v>0</v>
      </c>
      <c r="BK19" s="853">
        <f t="shared" si="18"/>
        <v>0</v>
      </c>
      <c r="BL19" s="853">
        <f t="shared" si="19"/>
        <v>0</v>
      </c>
      <c r="BM19" s="853">
        <f t="shared" si="20"/>
        <v>0</v>
      </c>
      <c r="BN19" s="16"/>
      <c r="BO19" s="733" t="s">
        <v>249</v>
      </c>
      <c r="BP19" s="488">
        <v>120</v>
      </c>
      <c r="BQ19" s="488">
        <v>18.2</v>
      </c>
      <c r="BR19" s="488">
        <v>0.75</v>
      </c>
      <c r="BS19" s="739"/>
      <c r="BT19" s="739"/>
      <c r="BU19" s="739"/>
      <c r="BV19" s="739"/>
      <c r="BW19" s="739"/>
      <c r="BX19" s="739"/>
    </row>
    <row r="20" spans="1:76" ht="23.25" customHeight="1" x14ac:dyDescent="0.25">
      <c r="A20" s="342">
        <v>13</v>
      </c>
      <c r="B20" s="1222">
        <v>0</v>
      </c>
      <c r="C20" s="632" t="s">
        <v>31</v>
      </c>
      <c r="D20" s="408">
        <f t="shared" si="0"/>
        <v>0</v>
      </c>
      <c r="E20" s="285">
        <f t="shared" si="1"/>
        <v>0</v>
      </c>
      <c r="F20" s="409">
        <f t="shared" si="7"/>
        <v>0</v>
      </c>
      <c r="G20" s="1242">
        <v>0</v>
      </c>
      <c r="H20" s="906">
        <v>0</v>
      </c>
      <c r="I20" s="413">
        <f t="shared" si="8"/>
        <v>0</v>
      </c>
      <c r="J20" s="433">
        <v>0</v>
      </c>
      <c r="K20" s="427">
        <f t="shared" si="9"/>
        <v>0</v>
      </c>
      <c r="L20" s="1220"/>
      <c r="M20" s="587">
        <f t="shared" si="2"/>
        <v>0</v>
      </c>
      <c r="N20" s="435">
        <f t="shared" si="3"/>
        <v>0</v>
      </c>
      <c r="O20" s="499">
        <f t="shared" si="4"/>
        <v>0</v>
      </c>
      <c r="P20" s="435">
        <f t="shared" si="5"/>
        <v>0</v>
      </c>
      <c r="Q20" s="474"/>
      <c r="R20" s="775">
        <f t="shared" si="10"/>
        <v>13</v>
      </c>
      <c r="S20" s="775" t="str">
        <f t="shared" si="11"/>
        <v>keine</v>
      </c>
      <c r="T20" s="901"/>
      <c r="U20" s="900" t="s">
        <v>805</v>
      </c>
      <c r="V20" s="324">
        <v>0</v>
      </c>
      <c r="W20" s="751">
        <f>VLOOKUP(U20,Düngemittel!$B$6:$E$64,2,FALSE)*(VLOOKUP(U20,Düngemittel!$B$6:$E$64,3,FALSE))/100*V20</f>
        <v>0</v>
      </c>
      <c r="X20" s="687">
        <f>VLOOKUP(U20,Düngemittel!$B$6:$E$64,2,FALSE)*V20</f>
        <v>0</v>
      </c>
      <c r="Y20" s="687">
        <f>VLOOKUP(U20,Düngemittel!$B$6:$E$64,4,FALSE)*V20</f>
        <v>0</v>
      </c>
      <c r="Z20" s="666"/>
      <c r="AA20" s="899"/>
      <c r="AB20" s="900" t="s">
        <v>805</v>
      </c>
      <c r="AC20" s="978">
        <v>0</v>
      </c>
      <c r="AD20" s="751">
        <f>VLOOKUP(AB20,Düngemittel!$B$6:$E$64,2,FALSE)*(VLOOKUP(AB20,Düngemittel!$B$6:$E$64,3,FALSE))/100*AC20</f>
        <v>0</v>
      </c>
      <c r="AE20" s="687">
        <f>VLOOKUP(AB20,Düngemittel!$B$6:$E$64,2,FALSE)*AC20</f>
        <v>0</v>
      </c>
      <c r="AF20" s="687">
        <f>VLOOKUP(AB20,Düngemittel!$B$6:$E$64,4,FALSE)*AC20</f>
        <v>0</v>
      </c>
      <c r="AG20" s="666"/>
      <c r="AH20" s="899"/>
      <c r="AI20" s="900" t="s">
        <v>805</v>
      </c>
      <c r="AJ20" s="978">
        <v>0</v>
      </c>
      <c r="AK20" s="751">
        <f>VLOOKUP(AI20,Düngemittel!$B$6:$E$64,2,FALSE)*(VLOOKUP(AI20,Düngemittel!$B$6:$E$64,3,FALSE))/100*AJ20</f>
        <v>0</v>
      </c>
      <c r="AL20" s="687">
        <f>VLOOKUP(AI20,Düngemittel!$B$6:$E$64,2,FALSE)*AJ20</f>
        <v>0</v>
      </c>
      <c r="AM20" s="687">
        <f>VLOOKUP(AI20,Düngemittel!$B$6:$E$64,4,FALSE)*AJ20</f>
        <v>0</v>
      </c>
      <c r="AN20" s="666"/>
      <c r="AO20" s="899"/>
      <c r="AP20" s="900" t="s">
        <v>805</v>
      </c>
      <c r="AQ20" s="978">
        <v>0</v>
      </c>
      <c r="AR20" s="751">
        <f>VLOOKUP(AP20,Düngemittel!$B$6:$E$64,2,FALSE)*(VLOOKUP(AP20,Düngemittel!$B$6:$E$64,3,FALSE))/100*AQ20</f>
        <v>0</v>
      </c>
      <c r="AS20" s="687">
        <f>VLOOKUP(AP20,Düngemittel!$B$6:$E$64,2,FALSE)*AQ20</f>
        <v>0</v>
      </c>
      <c r="AT20" s="687">
        <f>VLOOKUP(AP20,Düngemittel!$B$6:$E$64,4,FALSE)*AQ20</f>
        <v>0</v>
      </c>
      <c r="AU20" s="666"/>
      <c r="AV20" s="899"/>
      <c r="AW20" s="900" t="s">
        <v>805</v>
      </c>
      <c r="AX20" s="978">
        <v>0</v>
      </c>
      <c r="AY20" s="751">
        <f>VLOOKUP(AW20,Düngemittel!$B$6:$E$64,2,FALSE)*(VLOOKUP(AW20,Düngemittel!$B$6:$E$64,3,FALSE))/100*AX20</f>
        <v>0</v>
      </c>
      <c r="AZ20" s="687">
        <f>VLOOKUP(AW20,Düngemittel!$B$6:$E$64,2,FALSE)*AX20</f>
        <v>0</v>
      </c>
      <c r="BA20" s="687">
        <f>VLOOKUP(AW20,Düngemittel!$B$6:$E$64,4,FALSE)*AX20</f>
        <v>0</v>
      </c>
      <c r="BB20" s="666"/>
      <c r="BC20" s="853">
        <f t="shared" si="12"/>
        <v>0</v>
      </c>
      <c r="BD20" s="308">
        <f t="shared" si="13"/>
        <v>0</v>
      </c>
      <c r="BE20" s="853">
        <f t="shared" si="13"/>
        <v>0</v>
      </c>
      <c r="BF20" s="777">
        <f t="shared" si="14"/>
        <v>0</v>
      </c>
      <c r="BG20" s="308">
        <f t="shared" si="15"/>
        <v>0</v>
      </c>
      <c r="BH20" s="785"/>
      <c r="BI20" s="853">
        <f t="shared" si="16"/>
        <v>0</v>
      </c>
      <c r="BJ20" s="853">
        <f t="shared" si="17"/>
        <v>0</v>
      </c>
      <c r="BK20" s="853">
        <f t="shared" si="18"/>
        <v>0</v>
      </c>
      <c r="BL20" s="853">
        <f t="shared" si="19"/>
        <v>0</v>
      </c>
      <c r="BM20" s="853">
        <f t="shared" si="20"/>
        <v>0</v>
      </c>
      <c r="BN20" s="16"/>
      <c r="BO20" s="733" t="s">
        <v>247</v>
      </c>
      <c r="BP20" s="488">
        <v>110</v>
      </c>
      <c r="BQ20" s="488">
        <v>20.5</v>
      </c>
      <c r="BR20" s="488">
        <v>0.7</v>
      </c>
      <c r="BS20" s="739"/>
      <c r="BT20" s="739"/>
      <c r="BU20" s="739"/>
      <c r="BV20" s="739"/>
      <c r="BW20" s="739"/>
      <c r="BX20" s="739"/>
    </row>
    <row r="21" spans="1:76" ht="23.25" customHeight="1" x14ac:dyDescent="0.25">
      <c r="A21" s="342">
        <v>14</v>
      </c>
      <c r="B21" s="1222">
        <v>0</v>
      </c>
      <c r="C21" s="632" t="s">
        <v>31</v>
      </c>
      <c r="D21" s="408">
        <f t="shared" si="0"/>
        <v>0</v>
      </c>
      <c r="E21" s="285">
        <f t="shared" si="1"/>
        <v>0</v>
      </c>
      <c r="F21" s="409">
        <f t="shared" si="7"/>
        <v>0</v>
      </c>
      <c r="G21" s="1242">
        <v>0</v>
      </c>
      <c r="H21" s="906">
        <v>0</v>
      </c>
      <c r="I21" s="413">
        <f t="shared" si="8"/>
        <v>0</v>
      </c>
      <c r="J21" s="433">
        <v>0</v>
      </c>
      <c r="K21" s="427">
        <f t="shared" si="9"/>
        <v>0</v>
      </c>
      <c r="L21" s="1220"/>
      <c r="M21" s="587">
        <f t="shared" si="2"/>
        <v>0</v>
      </c>
      <c r="N21" s="435">
        <f t="shared" si="3"/>
        <v>0</v>
      </c>
      <c r="O21" s="499">
        <f t="shared" si="4"/>
        <v>0</v>
      </c>
      <c r="P21" s="435">
        <f t="shared" si="5"/>
        <v>0</v>
      </c>
      <c r="Q21" s="474"/>
      <c r="R21" s="775">
        <f t="shared" si="10"/>
        <v>14</v>
      </c>
      <c r="S21" s="775" t="str">
        <f t="shared" si="11"/>
        <v>keine</v>
      </c>
      <c r="T21" s="901"/>
      <c r="U21" s="900" t="s">
        <v>805</v>
      </c>
      <c r="V21" s="324">
        <v>0</v>
      </c>
      <c r="W21" s="751">
        <f>VLOOKUP(U21,Düngemittel!$B$6:$E$64,2,FALSE)*(VLOOKUP(U21,Düngemittel!$B$6:$E$64,3,FALSE))/100*V21</f>
        <v>0</v>
      </c>
      <c r="X21" s="687">
        <f>VLOOKUP(U21,Düngemittel!$B$6:$E$64,2,FALSE)*V21</f>
        <v>0</v>
      </c>
      <c r="Y21" s="687">
        <f>VLOOKUP(U21,Düngemittel!$B$6:$E$64,4,FALSE)*V21</f>
        <v>0</v>
      </c>
      <c r="Z21" s="666"/>
      <c r="AA21" s="899"/>
      <c r="AB21" s="900" t="s">
        <v>805</v>
      </c>
      <c r="AC21" s="978">
        <v>0</v>
      </c>
      <c r="AD21" s="751">
        <f>VLOOKUP(AB21,Düngemittel!$B$6:$E$64,2,FALSE)*(VLOOKUP(AB21,Düngemittel!$B$6:$E$64,3,FALSE))/100*AC21</f>
        <v>0</v>
      </c>
      <c r="AE21" s="687">
        <f>VLOOKUP(AB21,Düngemittel!$B$6:$E$64,2,FALSE)*AC21</f>
        <v>0</v>
      </c>
      <c r="AF21" s="687">
        <f>VLOOKUP(AB21,Düngemittel!$B$6:$E$64,4,FALSE)*AC21</f>
        <v>0</v>
      </c>
      <c r="AG21" s="666"/>
      <c r="AH21" s="899"/>
      <c r="AI21" s="900" t="s">
        <v>805</v>
      </c>
      <c r="AJ21" s="978">
        <v>0</v>
      </c>
      <c r="AK21" s="751">
        <f>VLOOKUP(AI21,Düngemittel!$B$6:$E$64,2,FALSE)*(VLOOKUP(AI21,Düngemittel!$B$6:$E$64,3,FALSE))/100*AJ21</f>
        <v>0</v>
      </c>
      <c r="AL21" s="687">
        <f>VLOOKUP(AI21,Düngemittel!$B$6:$E$64,2,FALSE)*AJ21</f>
        <v>0</v>
      </c>
      <c r="AM21" s="687">
        <f>VLOOKUP(AI21,Düngemittel!$B$6:$E$64,4,FALSE)*AJ21</f>
        <v>0</v>
      </c>
      <c r="AN21" s="666"/>
      <c r="AO21" s="899"/>
      <c r="AP21" s="900" t="s">
        <v>805</v>
      </c>
      <c r="AQ21" s="978">
        <v>0</v>
      </c>
      <c r="AR21" s="751">
        <f>VLOOKUP(AP21,Düngemittel!$B$6:$E$64,2,FALSE)*(VLOOKUP(AP21,Düngemittel!$B$6:$E$64,3,FALSE))/100*AQ21</f>
        <v>0</v>
      </c>
      <c r="AS21" s="687">
        <f>VLOOKUP(AP21,Düngemittel!$B$6:$E$64,2,FALSE)*AQ21</f>
        <v>0</v>
      </c>
      <c r="AT21" s="687">
        <f>VLOOKUP(AP21,Düngemittel!$B$6:$E$64,4,FALSE)*AQ21</f>
        <v>0</v>
      </c>
      <c r="AU21" s="666"/>
      <c r="AV21" s="899"/>
      <c r="AW21" s="900" t="s">
        <v>805</v>
      </c>
      <c r="AX21" s="978">
        <v>0</v>
      </c>
      <c r="AY21" s="751">
        <f>VLOOKUP(AW21,Düngemittel!$B$6:$E$64,2,FALSE)*(VLOOKUP(AW21,Düngemittel!$B$6:$E$64,3,FALSE))/100*AX21</f>
        <v>0</v>
      </c>
      <c r="AZ21" s="687">
        <f>VLOOKUP(AW21,Düngemittel!$B$6:$E$64,2,FALSE)*AX21</f>
        <v>0</v>
      </c>
      <c r="BA21" s="687">
        <f>VLOOKUP(AW21,Düngemittel!$B$6:$E$64,4,FALSE)*AX21</f>
        <v>0</v>
      </c>
      <c r="BB21" s="666"/>
      <c r="BC21" s="853">
        <f t="shared" si="12"/>
        <v>0</v>
      </c>
      <c r="BD21" s="308">
        <f t="shared" si="13"/>
        <v>0</v>
      </c>
      <c r="BE21" s="853">
        <f t="shared" si="13"/>
        <v>0</v>
      </c>
      <c r="BF21" s="777">
        <f t="shared" si="14"/>
        <v>0</v>
      </c>
      <c r="BG21" s="308">
        <f t="shared" si="15"/>
        <v>0</v>
      </c>
      <c r="BH21" s="785"/>
      <c r="BI21" s="853">
        <f t="shared" si="16"/>
        <v>0</v>
      </c>
      <c r="BJ21" s="853">
        <f t="shared" si="17"/>
        <v>0</v>
      </c>
      <c r="BK21" s="853">
        <f t="shared" si="18"/>
        <v>0</v>
      </c>
      <c r="BL21" s="853">
        <f t="shared" si="19"/>
        <v>0</v>
      </c>
      <c r="BM21" s="853">
        <f t="shared" si="20"/>
        <v>0</v>
      </c>
      <c r="BN21" s="16"/>
      <c r="BO21" s="743" t="s">
        <v>682</v>
      </c>
      <c r="BP21" s="99">
        <v>120</v>
      </c>
      <c r="BQ21" s="99">
        <v>7</v>
      </c>
      <c r="BR21" s="488">
        <v>0.51</v>
      </c>
      <c r="BS21" s="739"/>
      <c r="BT21" s="739"/>
      <c r="BU21" s="739"/>
      <c r="BV21" s="739"/>
      <c r="BW21" s="739"/>
      <c r="BX21" s="739"/>
    </row>
    <row r="22" spans="1:76" ht="23.25" customHeight="1" x14ac:dyDescent="0.25">
      <c r="A22" s="342">
        <v>15</v>
      </c>
      <c r="B22" s="1222">
        <v>0</v>
      </c>
      <c r="C22" s="632" t="s">
        <v>31</v>
      </c>
      <c r="D22" s="408">
        <f t="shared" si="0"/>
        <v>0</v>
      </c>
      <c r="E22" s="285">
        <f t="shared" si="1"/>
        <v>0</v>
      </c>
      <c r="F22" s="409">
        <f t="shared" si="7"/>
        <v>0</v>
      </c>
      <c r="G22" s="1242">
        <v>0</v>
      </c>
      <c r="H22" s="906">
        <v>0</v>
      </c>
      <c r="I22" s="413">
        <f t="shared" si="8"/>
        <v>0</v>
      </c>
      <c r="J22" s="433">
        <v>0</v>
      </c>
      <c r="K22" s="427">
        <f t="shared" si="9"/>
        <v>0</v>
      </c>
      <c r="L22" s="1220"/>
      <c r="M22" s="587">
        <f t="shared" si="2"/>
        <v>0</v>
      </c>
      <c r="N22" s="435">
        <f t="shared" si="3"/>
        <v>0</v>
      </c>
      <c r="O22" s="499">
        <f t="shared" si="4"/>
        <v>0</v>
      </c>
      <c r="P22" s="435">
        <f t="shared" si="5"/>
        <v>0</v>
      </c>
      <c r="Q22" s="474"/>
      <c r="R22" s="775">
        <f t="shared" si="10"/>
        <v>15</v>
      </c>
      <c r="S22" s="775" t="str">
        <f t="shared" si="11"/>
        <v>keine</v>
      </c>
      <c r="T22" s="901"/>
      <c r="U22" s="900" t="s">
        <v>805</v>
      </c>
      <c r="V22" s="324">
        <v>0</v>
      </c>
      <c r="W22" s="751">
        <f>VLOOKUP(U22,Düngemittel!$B$6:$E$64,2,FALSE)*(VLOOKUP(U22,Düngemittel!$B$6:$E$64,3,FALSE))/100*V22</f>
        <v>0</v>
      </c>
      <c r="X22" s="687">
        <f>VLOOKUP(U22,Düngemittel!$B$6:$E$64,2,FALSE)*V22</f>
        <v>0</v>
      </c>
      <c r="Y22" s="687">
        <f>VLOOKUP(U22,Düngemittel!$B$6:$E$64,4,FALSE)*V22</f>
        <v>0</v>
      </c>
      <c r="Z22" s="666"/>
      <c r="AA22" s="899"/>
      <c r="AB22" s="900" t="s">
        <v>805</v>
      </c>
      <c r="AC22" s="978">
        <v>0</v>
      </c>
      <c r="AD22" s="751">
        <f>VLOOKUP(AB22,Düngemittel!$B$6:$E$64,2,FALSE)*(VLOOKUP(AB22,Düngemittel!$B$6:$E$64,3,FALSE))/100*AC22</f>
        <v>0</v>
      </c>
      <c r="AE22" s="687">
        <f>VLOOKUP(AB22,Düngemittel!$B$6:$E$64,2,FALSE)*AC22</f>
        <v>0</v>
      </c>
      <c r="AF22" s="687">
        <f>VLOOKUP(AB22,Düngemittel!$B$6:$E$64,4,FALSE)*AC22</f>
        <v>0</v>
      </c>
      <c r="AG22" s="666"/>
      <c r="AH22" s="899"/>
      <c r="AI22" s="900" t="s">
        <v>805</v>
      </c>
      <c r="AJ22" s="978">
        <v>0</v>
      </c>
      <c r="AK22" s="751">
        <f>VLOOKUP(AI22,Düngemittel!$B$6:$E$64,2,FALSE)*(VLOOKUP(AI22,Düngemittel!$B$6:$E$64,3,FALSE))/100*AJ22</f>
        <v>0</v>
      </c>
      <c r="AL22" s="687">
        <f>VLOOKUP(AI22,Düngemittel!$B$6:$E$64,2,FALSE)*AJ22</f>
        <v>0</v>
      </c>
      <c r="AM22" s="687">
        <f>VLOOKUP(AI22,Düngemittel!$B$6:$E$64,4,FALSE)*AJ22</f>
        <v>0</v>
      </c>
      <c r="AN22" s="666"/>
      <c r="AO22" s="899"/>
      <c r="AP22" s="900" t="s">
        <v>805</v>
      </c>
      <c r="AQ22" s="978">
        <v>0</v>
      </c>
      <c r="AR22" s="751">
        <f>VLOOKUP(AP22,Düngemittel!$B$6:$E$64,2,FALSE)*(VLOOKUP(AP22,Düngemittel!$B$6:$E$64,3,FALSE))/100*AQ22</f>
        <v>0</v>
      </c>
      <c r="AS22" s="687">
        <f>VLOOKUP(AP22,Düngemittel!$B$6:$E$64,2,FALSE)*AQ22</f>
        <v>0</v>
      </c>
      <c r="AT22" s="687">
        <f>VLOOKUP(AP22,Düngemittel!$B$6:$E$64,4,FALSE)*AQ22</f>
        <v>0</v>
      </c>
      <c r="AU22" s="666"/>
      <c r="AV22" s="899"/>
      <c r="AW22" s="900" t="s">
        <v>805</v>
      </c>
      <c r="AX22" s="978">
        <v>0</v>
      </c>
      <c r="AY22" s="751">
        <f>VLOOKUP(AW22,Düngemittel!$B$6:$E$64,2,FALSE)*(VLOOKUP(AW22,Düngemittel!$B$6:$E$64,3,FALSE))/100*AX22</f>
        <v>0</v>
      </c>
      <c r="AZ22" s="687">
        <f>VLOOKUP(AW22,Düngemittel!$B$6:$E$64,2,FALSE)*AX22</f>
        <v>0</v>
      </c>
      <c r="BA22" s="687">
        <f>VLOOKUP(AW22,Düngemittel!$B$6:$E$64,4,FALSE)*AX22</f>
        <v>0</v>
      </c>
      <c r="BB22" s="666"/>
      <c r="BC22" s="853">
        <f t="shared" si="12"/>
        <v>0</v>
      </c>
      <c r="BD22" s="308">
        <f t="shared" si="13"/>
        <v>0</v>
      </c>
      <c r="BE22" s="853">
        <f t="shared" si="13"/>
        <v>0</v>
      </c>
      <c r="BF22" s="777">
        <f t="shared" si="14"/>
        <v>0</v>
      </c>
      <c r="BG22" s="308">
        <f t="shared" si="15"/>
        <v>0</v>
      </c>
      <c r="BH22" s="785"/>
      <c r="BI22" s="853">
        <f t="shared" si="16"/>
        <v>0</v>
      </c>
      <c r="BJ22" s="853">
        <f t="shared" si="17"/>
        <v>0</v>
      </c>
      <c r="BK22" s="853">
        <f t="shared" si="18"/>
        <v>0</v>
      </c>
      <c r="BL22" s="853">
        <f t="shared" si="19"/>
        <v>0</v>
      </c>
      <c r="BM22" s="853">
        <f t="shared" si="20"/>
        <v>0</v>
      </c>
      <c r="BN22" s="16"/>
      <c r="BO22" s="743" t="s">
        <v>756</v>
      </c>
      <c r="BP22" s="99"/>
      <c r="BQ22" s="99"/>
      <c r="BS22" s="739"/>
      <c r="BT22" s="739"/>
      <c r="BU22" s="739"/>
      <c r="BV22" s="739"/>
      <c r="BW22" s="739"/>
      <c r="BX22" s="739"/>
    </row>
    <row r="23" spans="1:76" ht="23.25" customHeight="1" x14ac:dyDescent="0.25">
      <c r="A23" s="342">
        <v>16</v>
      </c>
      <c r="B23" s="1222">
        <v>0</v>
      </c>
      <c r="C23" s="632" t="s">
        <v>31</v>
      </c>
      <c r="D23" s="408">
        <f t="shared" si="0"/>
        <v>0</v>
      </c>
      <c r="E23" s="285">
        <f t="shared" si="1"/>
        <v>0</v>
      </c>
      <c r="F23" s="409">
        <f t="shared" si="7"/>
        <v>0</v>
      </c>
      <c r="G23" s="1242">
        <v>0</v>
      </c>
      <c r="H23" s="906">
        <v>0</v>
      </c>
      <c r="I23" s="413">
        <f t="shared" si="8"/>
        <v>0</v>
      </c>
      <c r="J23" s="433">
        <v>0</v>
      </c>
      <c r="K23" s="427">
        <f t="shared" si="9"/>
        <v>0</v>
      </c>
      <c r="L23" s="1220"/>
      <c r="M23" s="587">
        <f t="shared" si="2"/>
        <v>0</v>
      </c>
      <c r="N23" s="435">
        <f t="shared" si="3"/>
        <v>0</v>
      </c>
      <c r="O23" s="499">
        <f t="shared" si="4"/>
        <v>0</v>
      </c>
      <c r="P23" s="435">
        <f t="shared" si="5"/>
        <v>0</v>
      </c>
      <c r="Q23" s="474"/>
      <c r="R23" s="775">
        <f t="shared" si="10"/>
        <v>16</v>
      </c>
      <c r="S23" s="775" t="str">
        <f t="shared" si="11"/>
        <v>keine</v>
      </c>
      <c r="T23" s="901"/>
      <c r="U23" s="900" t="s">
        <v>805</v>
      </c>
      <c r="V23" s="324">
        <v>0</v>
      </c>
      <c r="W23" s="751">
        <f>VLOOKUP(U23,Düngemittel!$B$6:$E$64,2,FALSE)*(VLOOKUP(U23,Düngemittel!$B$6:$E$64,3,FALSE))/100*V23</f>
        <v>0</v>
      </c>
      <c r="X23" s="687">
        <f>VLOOKUP(U23,Düngemittel!$B$6:$E$64,2,FALSE)*V23</f>
        <v>0</v>
      </c>
      <c r="Y23" s="687">
        <f>VLOOKUP(U23,Düngemittel!$B$6:$E$64,4,FALSE)*V23</f>
        <v>0</v>
      </c>
      <c r="Z23" s="666"/>
      <c r="AA23" s="899"/>
      <c r="AB23" s="900" t="s">
        <v>805</v>
      </c>
      <c r="AC23" s="978">
        <v>0</v>
      </c>
      <c r="AD23" s="751">
        <f>VLOOKUP(AB23,Düngemittel!$B$6:$E$64,2,FALSE)*(VLOOKUP(AB23,Düngemittel!$B$6:$E$64,3,FALSE))/100*AC23</f>
        <v>0</v>
      </c>
      <c r="AE23" s="687">
        <f>VLOOKUP(AB23,Düngemittel!$B$6:$E$64,2,FALSE)*AC23</f>
        <v>0</v>
      </c>
      <c r="AF23" s="687">
        <f>VLOOKUP(AB23,Düngemittel!$B$6:$E$64,4,FALSE)*AC23</f>
        <v>0</v>
      </c>
      <c r="AG23" s="666"/>
      <c r="AH23" s="899"/>
      <c r="AI23" s="900" t="s">
        <v>805</v>
      </c>
      <c r="AJ23" s="978">
        <v>0</v>
      </c>
      <c r="AK23" s="751">
        <f>VLOOKUP(AI23,Düngemittel!$B$6:$E$64,2,FALSE)*(VLOOKUP(AI23,Düngemittel!$B$6:$E$64,3,FALSE))/100*AJ23</f>
        <v>0</v>
      </c>
      <c r="AL23" s="687">
        <f>VLOOKUP(AI23,Düngemittel!$B$6:$E$64,2,FALSE)*AJ23</f>
        <v>0</v>
      </c>
      <c r="AM23" s="687">
        <f>VLOOKUP(AI23,Düngemittel!$B$6:$E$64,4,FALSE)*AJ23</f>
        <v>0</v>
      </c>
      <c r="AN23" s="666"/>
      <c r="AO23" s="899"/>
      <c r="AP23" s="900" t="s">
        <v>805</v>
      </c>
      <c r="AQ23" s="978">
        <v>0</v>
      </c>
      <c r="AR23" s="751">
        <f>VLOOKUP(AP23,Düngemittel!$B$6:$E$64,2,FALSE)*(VLOOKUP(AP23,Düngemittel!$B$6:$E$64,3,FALSE))/100*AQ23</f>
        <v>0</v>
      </c>
      <c r="AS23" s="687">
        <f>VLOOKUP(AP23,Düngemittel!$B$6:$E$64,2,FALSE)*AQ23</f>
        <v>0</v>
      </c>
      <c r="AT23" s="687">
        <f>VLOOKUP(AP23,Düngemittel!$B$6:$E$64,4,FALSE)*AQ23</f>
        <v>0</v>
      </c>
      <c r="AU23" s="666"/>
      <c r="AV23" s="899"/>
      <c r="AW23" s="900" t="s">
        <v>805</v>
      </c>
      <c r="AX23" s="978">
        <v>0</v>
      </c>
      <c r="AY23" s="751">
        <f>VLOOKUP(AW23,Düngemittel!$B$6:$E$64,2,FALSE)*(VLOOKUP(AW23,Düngemittel!$B$6:$E$64,3,FALSE))/100*AX23</f>
        <v>0</v>
      </c>
      <c r="AZ23" s="687">
        <f>VLOOKUP(AW23,Düngemittel!$B$6:$E$64,2,FALSE)*AX23</f>
        <v>0</v>
      </c>
      <c r="BA23" s="687">
        <f>VLOOKUP(AW23,Düngemittel!$B$6:$E$64,4,FALSE)*AX23</f>
        <v>0</v>
      </c>
      <c r="BB23" s="666"/>
      <c r="BC23" s="853">
        <f t="shared" si="12"/>
        <v>0</v>
      </c>
      <c r="BD23" s="308">
        <f t="shared" si="13"/>
        <v>0</v>
      </c>
      <c r="BE23" s="853">
        <f t="shared" si="13"/>
        <v>0</v>
      </c>
      <c r="BF23" s="777">
        <f t="shared" si="14"/>
        <v>0</v>
      </c>
      <c r="BG23" s="308">
        <f t="shared" si="15"/>
        <v>0</v>
      </c>
      <c r="BH23" s="785"/>
      <c r="BI23" s="853">
        <f t="shared" si="16"/>
        <v>0</v>
      </c>
      <c r="BJ23" s="853">
        <f t="shared" si="17"/>
        <v>0</v>
      </c>
      <c r="BK23" s="853">
        <f t="shared" si="18"/>
        <v>0</v>
      </c>
      <c r="BL23" s="853">
        <f t="shared" si="19"/>
        <v>0</v>
      </c>
      <c r="BM23" s="853">
        <f t="shared" si="20"/>
        <v>0</v>
      </c>
      <c r="BN23" s="16"/>
      <c r="BO23" s="743" t="s">
        <v>756</v>
      </c>
      <c r="BP23" s="99"/>
      <c r="BQ23" s="99"/>
      <c r="BS23" s="739"/>
      <c r="BT23" s="739"/>
      <c r="BU23" s="739"/>
      <c r="BV23" s="739"/>
      <c r="BW23" s="739"/>
      <c r="BX23" s="739"/>
    </row>
    <row r="24" spans="1:76" ht="23.25" customHeight="1" x14ac:dyDescent="0.25">
      <c r="A24" s="342">
        <v>17</v>
      </c>
      <c r="B24" s="1222">
        <v>0</v>
      </c>
      <c r="C24" s="632" t="s">
        <v>31</v>
      </c>
      <c r="D24" s="408">
        <f t="shared" si="0"/>
        <v>0</v>
      </c>
      <c r="E24" s="285">
        <f t="shared" si="1"/>
        <v>0</v>
      </c>
      <c r="F24" s="409">
        <f t="shared" si="7"/>
        <v>0</v>
      </c>
      <c r="G24" s="1242">
        <v>0</v>
      </c>
      <c r="H24" s="906">
        <v>0</v>
      </c>
      <c r="I24" s="413">
        <f t="shared" si="8"/>
        <v>0</v>
      </c>
      <c r="J24" s="433">
        <v>0</v>
      </c>
      <c r="K24" s="427">
        <f t="shared" si="9"/>
        <v>0</v>
      </c>
      <c r="L24" s="1220"/>
      <c r="M24" s="587">
        <f t="shared" si="2"/>
        <v>0</v>
      </c>
      <c r="N24" s="435">
        <f t="shared" si="3"/>
        <v>0</v>
      </c>
      <c r="O24" s="499">
        <f t="shared" si="4"/>
        <v>0</v>
      </c>
      <c r="P24" s="435">
        <f t="shared" si="5"/>
        <v>0</v>
      </c>
      <c r="Q24" s="476"/>
      <c r="R24" s="775">
        <f t="shared" si="10"/>
        <v>17</v>
      </c>
      <c r="S24" s="775" t="str">
        <f t="shared" si="11"/>
        <v>keine</v>
      </c>
      <c r="T24" s="901"/>
      <c r="U24" s="900" t="s">
        <v>805</v>
      </c>
      <c r="V24" s="324">
        <v>0</v>
      </c>
      <c r="W24" s="751">
        <f>VLOOKUP(U24,Düngemittel!$B$6:$E$64,2,FALSE)*(VLOOKUP(U24,Düngemittel!$B$6:$E$64,3,FALSE))/100*V24</f>
        <v>0</v>
      </c>
      <c r="X24" s="687">
        <f>VLOOKUP(U24,Düngemittel!$B$6:$E$64,2,FALSE)*V24</f>
        <v>0</v>
      </c>
      <c r="Y24" s="687">
        <f>VLOOKUP(U24,Düngemittel!$B$6:$E$64,4,FALSE)*V24</f>
        <v>0</v>
      </c>
      <c r="Z24" s="666"/>
      <c r="AA24" s="899"/>
      <c r="AB24" s="900" t="s">
        <v>805</v>
      </c>
      <c r="AC24" s="978">
        <v>0</v>
      </c>
      <c r="AD24" s="751">
        <f>VLOOKUP(AB24,Düngemittel!$B$6:$E$64,2,FALSE)*(VLOOKUP(AB24,Düngemittel!$B$6:$E$64,3,FALSE))/100*AC24</f>
        <v>0</v>
      </c>
      <c r="AE24" s="687">
        <f>VLOOKUP(AB24,Düngemittel!$B$6:$E$64,2,FALSE)*AC24</f>
        <v>0</v>
      </c>
      <c r="AF24" s="687">
        <f>VLOOKUP(AB24,Düngemittel!$B$6:$E$64,4,FALSE)*AC24</f>
        <v>0</v>
      </c>
      <c r="AG24" s="666"/>
      <c r="AH24" s="899"/>
      <c r="AI24" s="900" t="s">
        <v>805</v>
      </c>
      <c r="AJ24" s="978">
        <v>0</v>
      </c>
      <c r="AK24" s="751">
        <f>VLOOKUP(AI24,Düngemittel!$B$6:$E$64,2,FALSE)*(VLOOKUP(AI24,Düngemittel!$B$6:$E$64,3,FALSE))/100*AJ24</f>
        <v>0</v>
      </c>
      <c r="AL24" s="687">
        <f>VLOOKUP(AI24,Düngemittel!$B$6:$E$64,2,FALSE)*AJ24</f>
        <v>0</v>
      </c>
      <c r="AM24" s="687">
        <f>VLOOKUP(AI24,Düngemittel!$B$6:$E$64,4,FALSE)*AJ24</f>
        <v>0</v>
      </c>
      <c r="AN24" s="666"/>
      <c r="AO24" s="899"/>
      <c r="AP24" s="900" t="s">
        <v>805</v>
      </c>
      <c r="AQ24" s="978">
        <v>0</v>
      </c>
      <c r="AR24" s="751">
        <f>VLOOKUP(AP24,Düngemittel!$B$6:$E$64,2,FALSE)*(VLOOKUP(AP24,Düngemittel!$B$6:$E$64,3,FALSE))/100*AQ24</f>
        <v>0</v>
      </c>
      <c r="AS24" s="687">
        <f>VLOOKUP(AP24,Düngemittel!$B$6:$E$64,2,FALSE)*AQ24</f>
        <v>0</v>
      </c>
      <c r="AT24" s="687">
        <f>VLOOKUP(AP24,Düngemittel!$B$6:$E$64,4,FALSE)*AQ24</f>
        <v>0</v>
      </c>
      <c r="AU24" s="666"/>
      <c r="AV24" s="899"/>
      <c r="AW24" s="900" t="s">
        <v>805</v>
      </c>
      <c r="AX24" s="978">
        <v>0</v>
      </c>
      <c r="AY24" s="751">
        <f>VLOOKUP(AW24,Düngemittel!$B$6:$E$64,2,FALSE)*(VLOOKUP(AW24,Düngemittel!$B$6:$E$64,3,FALSE))/100*AX24</f>
        <v>0</v>
      </c>
      <c r="AZ24" s="687">
        <f>VLOOKUP(AW24,Düngemittel!$B$6:$E$64,2,FALSE)*AX24</f>
        <v>0</v>
      </c>
      <c r="BA24" s="687">
        <f>VLOOKUP(AW24,Düngemittel!$B$6:$E$64,4,FALSE)*AX24</f>
        <v>0</v>
      </c>
      <c r="BB24" s="666"/>
      <c r="BC24" s="853">
        <f t="shared" si="12"/>
        <v>0</v>
      </c>
      <c r="BD24" s="308">
        <f t="shared" si="13"/>
        <v>0</v>
      </c>
      <c r="BE24" s="853">
        <f t="shared" si="13"/>
        <v>0</v>
      </c>
      <c r="BF24" s="777">
        <f t="shared" si="14"/>
        <v>0</v>
      </c>
      <c r="BG24" s="308">
        <f t="shared" si="15"/>
        <v>0</v>
      </c>
      <c r="BH24" s="785"/>
      <c r="BI24" s="853">
        <f t="shared" si="16"/>
        <v>0</v>
      </c>
      <c r="BJ24" s="853">
        <f t="shared" si="17"/>
        <v>0</v>
      </c>
      <c r="BK24" s="853">
        <f t="shared" si="18"/>
        <v>0</v>
      </c>
      <c r="BL24" s="853">
        <f t="shared" si="19"/>
        <v>0</v>
      </c>
      <c r="BM24" s="853">
        <f t="shared" si="20"/>
        <v>0</v>
      </c>
      <c r="BN24" s="16"/>
      <c r="BO24" s="735" t="s">
        <v>755</v>
      </c>
      <c r="BS24" s="739"/>
      <c r="BT24" s="741" t="s">
        <v>84</v>
      </c>
      <c r="BU24" s="737"/>
      <c r="BV24" s="739"/>
      <c r="BW24" s="739"/>
      <c r="BX24" s="739"/>
    </row>
    <row r="25" spans="1:76" ht="23.25" customHeight="1" x14ac:dyDescent="0.25">
      <c r="A25" s="342">
        <v>18</v>
      </c>
      <c r="B25" s="1222">
        <v>0</v>
      </c>
      <c r="C25" s="632" t="s">
        <v>31</v>
      </c>
      <c r="D25" s="408">
        <f t="shared" si="0"/>
        <v>0</v>
      </c>
      <c r="E25" s="285">
        <f t="shared" si="1"/>
        <v>0</v>
      </c>
      <c r="F25" s="409">
        <f t="shared" si="7"/>
        <v>0</v>
      </c>
      <c r="G25" s="1242">
        <v>0</v>
      </c>
      <c r="H25" s="906">
        <v>0</v>
      </c>
      <c r="I25" s="413">
        <f t="shared" si="8"/>
        <v>0</v>
      </c>
      <c r="J25" s="433">
        <v>0</v>
      </c>
      <c r="K25" s="427">
        <f t="shared" si="9"/>
        <v>0</v>
      </c>
      <c r="L25" s="1220"/>
      <c r="M25" s="587">
        <f t="shared" si="2"/>
        <v>0</v>
      </c>
      <c r="N25" s="435">
        <f t="shared" si="3"/>
        <v>0</v>
      </c>
      <c r="O25" s="499">
        <f t="shared" si="4"/>
        <v>0</v>
      </c>
      <c r="P25" s="435">
        <f t="shared" si="5"/>
        <v>0</v>
      </c>
      <c r="R25" s="775">
        <f t="shared" si="10"/>
        <v>18</v>
      </c>
      <c r="S25" s="775" t="str">
        <f t="shared" si="11"/>
        <v>keine</v>
      </c>
      <c r="T25" s="901"/>
      <c r="U25" s="900" t="s">
        <v>805</v>
      </c>
      <c r="V25" s="324">
        <v>0</v>
      </c>
      <c r="W25" s="751">
        <f>VLOOKUP(U25,Düngemittel!$B$6:$E$64,2,FALSE)*(VLOOKUP(U25,Düngemittel!$B$6:$E$64,3,FALSE))/100*V25</f>
        <v>0</v>
      </c>
      <c r="X25" s="687">
        <f>VLOOKUP(U25,Düngemittel!$B$6:$E$64,2,FALSE)*V25</f>
        <v>0</v>
      </c>
      <c r="Y25" s="687">
        <f>VLOOKUP(U25,Düngemittel!$B$6:$E$64,4,FALSE)*V25</f>
        <v>0</v>
      </c>
      <c r="Z25" s="666"/>
      <c r="AA25" s="899"/>
      <c r="AB25" s="900" t="s">
        <v>805</v>
      </c>
      <c r="AC25" s="978">
        <v>0</v>
      </c>
      <c r="AD25" s="751">
        <f>VLOOKUP(AB25,Düngemittel!$B$6:$E$64,2,FALSE)*(VLOOKUP(AB25,Düngemittel!$B$6:$E$64,3,FALSE))/100*AC25</f>
        <v>0</v>
      </c>
      <c r="AE25" s="687">
        <f>VLOOKUP(AB25,Düngemittel!$B$6:$E$64,2,FALSE)*AC25</f>
        <v>0</v>
      </c>
      <c r="AF25" s="687">
        <f>VLOOKUP(AB25,Düngemittel!$B$6:$E$64,4,FALSE)*AC25</f>
        <v>0</v>
      </c>
      <c r="AG25" s="666"/>
      <c r="AH25" s="899"/>
      <c r="AI25" s="900" t="s">
        <v>805</v>
      </c>
      <c r="AJ25" s="978">
        <v>0</v>
      </c>
      <c r="AK25" s="751">
        <f>VLOOKUP(AI25,Düngemittel!$B$6:$E$64,2,FALSE)*(VLOOKUP(AI25,Düngemittel!$B$6:$E$64,3,FALSE))/100*AJ25</f>
        <v>0</v>
      </c>
      <c r="AL25" s="687">
        <f>VLOOKUP(AI25,Düngemittel!$B$6:$E$64,2,FALSE)*AJ25</f>
        <v>0</v>
      </c>
      <c r="AM25" s="687">
        <f>VLOOKUP(AI25,Düngemittel!$B$6:$E$64,4,FALSE)*AJ25</f>
        <v>0</v>
      </c>
      <c r="AN25" s="666"/>
      <c r="AO25" s="899"/>
      <c r="AP25" s="900" t="s">
        <v>805</v>
      </c>
      <c r="AQ25" s="978">
        <v>0</v>
      </c>
      <c r="AR25" s="751">
        <f>VLOOKUP(AP25,Düngemittel!$B$6:$E$64,2,FALSE)*(VLOOKUP(AP25,Düngemittel!$B$6:$E$64,3,FALSE))/100*AQ25</f>
        <v>0</v>
      </c>
      <c r="AS25" s="687">
        <f>VLOOKUP(AP25,Düngemittel!$B$6:$E$64,2,FALSE)*AQ25</f>
        <v>0</v>
      </c>
      <c r="AT25" s="687">
        <f>VLOOKUP(AP25,Düngemittel!$B$6:$E$64,4,FALSE)*AQ25</f>
        <v>0</v>
      </c>
      <c r="AU25" s="666"/>
      <c r="AV25" s="899"/>
      <c r="AW25" s="900" t="s">
        <v>805</v>
      </c>
      <c r="AX25" s="978">
        <v>0</v>
      </c>
      <c r="AY25" s="751">
        <f>VLOOKUP(AW25,Düngemittel!$B$6:$E$64,2,FALSE)*(VLOOKUP(AW25,Düngemittel!$B$6:$E$64,3,FALSE))/100*AX25</f>
        <v>0</v>
      </c>
      <c r="AZ25" s="687">
        <f>VLOOKUP(AW25,Düngemittel!$B$6:$E$64,2,FALSE)*AX25</f>
        <v>0</v>
      </c>
      <c r="BA25" s="687">
        <f>VLOOKUP(AW25,Düngemittel!$B$6:$E$64,4,FALSE)*AX25</f>
        <v>0</v>
      </c>
      <c r="BB25" s="666"/>
      <c r="BC25" s="853">
        <f t="shared" si="12"/>
        <v>0</v>
      </c>
      <c r="BD25" s="308">
        <f t="shared" si="13"/>
        <v>0</v>
      </c>
      <c r="BE25" s="853">
        <f t="shared" si="13"/>
        <v>0</v>
      </c>
      <c r="BF25" s="777">
        <f t="shared" si="14"/>
        <v>0</v>
      </c>
      <c r="BG25" s="308">
        <f t="shared" si="15"/>
        <v>0</v>
      </c>
      <c r="BH25" s="785"/>
      <c r="BI25" s="853">
        <f t="shared" si="16"/>
        <v>0</v>
      </c>
      <c r="BJ25" s="853">
        <f t="shared" si="17"/>
        <v>0</v>
      </c>
      <c r="BK25" s="853">
        <f t="shared" si="18"/>
        <v>0</v>
      </c>
      <c r="BL25" s="853">
        <f t="shared" si="19"/>
        <v>0</v>
      </c>
      <c r="BM25" s="853">
        <f t="shared" si="20"/>
        <v>0</v>
      </c>
      <c r="BN25" s="16"/>
      <c r="BO25" s="17"/>
      <c r="BS25" s="739"/>
      <c r="BT25" s="740" t="s">
        <v>90</v>
      </c>
      <c r="BU25" s="737">
        <v>0</v>
      </c>
      <c r="BV25" s="739"/>
      <c r="BW25" s="739"/>
      <c r="BX25" s="739"/>
    </row>
    <row r="26" spans="1:76" ht="23.25" customHeight="1" x14ac:dyDescent="0.25">
      <c r="A26" s="342">
        <v>19</v>
      </c>
      <c r="B26" s="1222">
        <v>0</v>
      </c>
      <c r="C26" s="632" t="s">
        <v>31</v>
      </c>
      <c r="D26" s="408">
        <f t="shared" si="0"/>
        <v>0</v>
      </c>
      <c r="E26" s="285">
        <f t="shared" si="1"/>
        <v>0</v>
      </c>
      <c r="F26" s="409">
        <f t="shared" si="7"/>
        <v>0</v>
      </c>
      <c r="G26" s="1242">
        <v>0</v>
      </c>
      <c r="H26" s="906">
        <v>0</v>
      </c>
      <c r="I26" s="413">
        <f t="shared" si="8"/>
        <v>0</v>
      </c>
      <c r="J26" s="433">
        <v>0</v>
      </c>
      <c r="K26" s="427">
        <f t="shared" si="9"/>
        <v>0</v>
      </c>
      <c r="L26" s="1220"/>
      <c r="M26" s="587">
        <f t="shared" si="2"/>
        <v>0</v>
      </c>
      <c r="N26" s="435">
        <f t="shared" si="3"/>
        <v>0</v>
      </c>
      <c r="O26" s="499">
        <f t="shared" si="4"/>
        <v>0</v>
      </c>
      <c r="P26" s="435">
        <f t="shared" si="5"/>
        <v>0</v>
      </c>
      <c r="Q26" s="724"/>
      <c r="R26" s="775">
        <f t="shared" si="10"/>
        <v>19</v>
      </c>
      <c r="S26" s="775" t="str">
        <f t="shared" si="11"/>
        <v>keine</v>
      </c>
      <c r="T26" s="901"/>
      <c r="U26" s="900" t="s">
        <v>805</v>
      </c>
      <c r="V26" s="324">
        <v>0</v>
      </c>
      <c r="W26" s="751">
        <f>VLOOKUP(U26,Düngemittel!$B$6:$E$64,2,FALSE)*(VLOOKUP(U26,Düngemittel!$B$6:$E$64,3,FALSE))/100*V26</f>
        <v>0</v>
      </c>
      <c r="X26" s="687">
        <f>VLOOKUP(U26,Düngemittel!$B$6:$E$64,2,FALSE)*V26</f>
        <v>0</v>
      </c>
      <c r="Y26" s="687">
        <f>VLOOKUP(U26,Düngemittel!$B$6:$E$64,4,FALSE)*V26</f>
        <v>0</v>
      </c>
      <c r="Z26" s="666"/>
      <c r="AA26" s="899"/>
      <c r="AB26" s="900" t="s">
        <v>805</v>
      </c>
      <c r="AC26" s="978">
        <v>0</v>
      </c>
      <c r="AD26" s="751">
        <f>VLOOKUP(AB26,Düngemittel!$B$6:$E$64,2,FALSE)*(VLOOKUP(AB26,Düngemittel!$B$6:$E$64,3,FALSE))/100*AC26</f>
        <v>0</v>
      </c>
      <c r="AE26" s="687">
        <f>VLOOKUP(AB26,Düngemittel!$B$6:$E$64,2,FALSE)*AC26</f>
        <v>0</v>
      </c>
      <c r="AF26" s="687">
        <f>VLOOKUP(AB26,Düngemittel!$B$6:$E$64,4,FALSE)*AC26</f>
        <v>0</v>
      </c>
      <c r="AG26" s="666"/>
      <c r="AH26" s="899"/>
      <c r="AI26" s="900" t="s">
        <v>805</v>
      </c>
      <c r="AJ26" s="978">
        <v>0</v>
      </c>
      <c r="AK26" s="751">
        <f>VLOOKUP(AI26,Düngemittel!$B$6:$E$64,2,FALSE)*(VLOOKUP(AI26,Düngemittel!$B$6:$E$64,3,FALSE))/100*AJ26</f>
        <v>0</v>
      </c>
      <c r="AL26" s="687">
        <f>VLOOKUP(AI26,Düngemittel!$B$6:$E$64,2,FALSE)*AJ26</f>
        <v>0</v>
      </c>
      <c r="AM26" s="687">
        <f>VLOOKUP(AI26,Düngemittel!$B$6:$E$64,4,FALSE)*AJ26</f>
        <v>0</v>
      </c>
      <c r="AN26" s="666"/>
      <c r="AO26" s="899"/>
      <c r="AP26" s="900" t="s">
        <v>805</v>
      </c>
      <c r="AQ26" s="978">
        <v>0</v>
      </c>
      <c r="AR26" s="751">
        <f>VLOOKUP(AP26,Düngemittel!$B$6:$E$64,2,FALSE)*(VLOOKUP(AP26,Düngemittel!$B$6:$E$64,3,FALSE))/100*AQ26</f>
        <v>0</v>
      </c>
      <c r="AS26" s="687">
        <f>VLOOKUP(AP26,Düngemittel!$B$6:$E$64,2,FALSE)*AQ26</f>
        <v>0</v>
      </c>
      <c r="AT26" s="687">
        <f>VLOOKUP(AP26,Düngemittel!$B$6:$E$64,4,FALSE)*AQ26</f>
        <v>0</v>
      </c>
      <c r="AU26" s="666"/>
      <c r="AV26" s="899"/>
      <c r="AW26" s="900" t="s">
        <v>805</v>
      </c>
      <c r="AX26" s="978">
        <v>0</v>
      </c>
      <c r="AY26" s="751">
        <f>VLOOKUP(AW26,Düngemittel!$B$6:$E$64,2,FALSE)*(VLOOKUP(AW26,Düngemittel!$B$6:$E$64,3,FALSE))/100*AX26</f>
        <v>0</v>
      </c>
      <c r="AZ26" s="687">
        <f>VLOOKUP(AW26,Düngemittel!$B$6:$E$64,2,FALSE)*AX26</f>
        <v>0</v>
      </c>
      <c r="BA26" s="687">
        <f>VLOOKUP(AW26,Düngemittel!$B$6:$E$64,4,FALSE)*AX26</f>
        <v>0</v>
      </c>
      <c r="BB26" s="666"/>
      <c r="BC26" s="853">
        <f t="shared" si="12"/>
        <v>0</v>
      </c>
      <c r="BD26" s="308">
        <f t="shared" si="13"/>
        <v>0</v>
      </c>
      <c r="BE26" s="853">
        <f t="shared" si="13"/>
        <v>0</v>
      </c>
      <c r="BF26" s="777">
        <f t="shared" si="14"/>
        <v>0</v>
      </c>
      <c r="BG26" s="308">
        <f t="shared" si="15"/>
        <v>0</v>
      </c>
      <c r="BH26" s="785"/>
      <c r="BI26" s="853">
        <f t="shared" si="16"/>
        <v>0</v>
      </c>
      <c r="BJ26" s="853">
        <f t="shared" si="17"/>
        <v>0</v>
      </c>
      <c r="BK26" s="853">
        <f t="shared" si="18"/>
        <v>0</v>
      </c>
      <c r="BL26" s="853">
        <f t="shared" si="19"/>
        <v>0</v>
      </c>
      <c r="BM26" s="853">
        <f t="shared" si="20"/>
        <v>0</v>
      </c>
      <c r="BN26" s="16"/>
      <c r="BO26" s="17"/>
      <c r="BS26" s="739"/>
      <c r="BT26" s="740" t="s">
        <v>88</v>
      </c>
      <c r="BU26" s="737">
        <v>20</v>
      </c>
      <c r="BV26" s="739"/>
      <c r="BW26" s="739"/>
      <c r="BX26" s="739"/>
    </row>
    <row r="27" spans="1:76" ht="23.25" customHeight="1" x14ac:dyDescent="0.25">
      <c r="A27" s="342">
        <v>20</v>
      </c>
      <c r="B27" s="1222">
        <v>0</v>
      </c>
      <c r="C27" s="632" t="s">
        <v>31</v>
      </c>
      <c r="D27" s="408">
        <f t="shared" si="0"/>
        <v>0</v>
      </c>
      <c r="E27" s="285">
        <f t="shared" si="1"/>
        <v>0</v>
      </c>
      <c r="F27" s="409">
        <f t="shared" si="7"/>
        <v>0</v>
      </c>
      <c r="G27" s="1242">
        <v>0</v>
      </c>
      <c r="H27" s="906">
        <v>0</v>
      </c>
      <c r="I27" s="413">
        <f t="shared" si="8"/>
        <v>0</v>
      </c>
      <c r="J27" s="433">
        <v>0</v>
      </c>
      <c r="K27" s="427">
        <f t="shared" si="9"/>
        <v>0</v>
      </c>
      <c r="L27" s="1220"/>
      <c r="M27" s="587">
        <f t="shared" si="2"/>
        <v>0</v>
      </c>
      <c r="N27" s="435">
        <f t="shared" si="3"/>
        <v>0</v>
      </c>
      <c r="O27" s="499">
        <f t="shared" si="4"/>
        <v>0</v>
      </c>
      <c r="P27" s="435">
        <f t="shared" si="5"/>
        <v>0</v>
      </c>
      <c r="Q27" s="519"/>
      <c r="R27" s="775">
        <f t="shared" si="10"/>
        <v>20</v>
      </c>
      <c r="S27" s="775" t="str">
        <f t="shared" si="11"/>
        <v>keine</v>
      </c>
      <c r="T27" s="901"/>
      <c r="U27" s="900" t="s">
        <v>805</v>
      </c>
      <c r="V27" s="324">
        <v>0</v>
      </c>
      <c r="W27" s="751">
        <f>VLOOKUP(U27,Düngemittel!$B$6:$E$64,2,FALSE)*(VLOOKUP(U27,Düngemittel!$B$6:$E$64,3,FALSE))/100*V27</f>
        <v>0</v>
      </c>
      <c r="X27" s="687">
        <f>VLOOKUP(U27,Düngemittel!$B$6:$E$64,2,FALSE)*V27</f>
        <v>0</v>
      </c>
      <c r="Y27" s="687">
        <f>VLOOKUP(U27,Düngemittel!$B$6:$E$64,4,FALSE)*V27</f>
        <v>0</v>
      </c>
      <c r="Z27" s="666"/>
      <c r="AA27" s="899"/>
      <c r="AB27" s="900" t="s">
        <v>805</v>
      </c>
      <c r="AC27" s="978">
        <v>0</v>
      </c>
      <c r="AD27" s="751">
        <f>VLOOKUP(AB27,Düngemittel!$B$6:$E$64,2,FALSE)*(VLOOKUP(AB27,Düngemittel!$B$6:$E$64,3,FALSE))/100*AC27</f>
        <v>0</v>
      </c>
      <c r="AE27" s="687">
        <f>VLOOKUP(AB27,Düngemittel!$B$6:$E$64,2,FALSE)*AC27</f>
        <v>0</v>
      </c>
      <c r="AF27" s="687">
        <f>VLOOKUP(AB27,Düngemittel!$B$6:$E$64,4,FALSE)*AC27</f>
        <v>0</v>
      </c>
      <c r="AG27" s="666"/>
      <c r="AH27" s="899"/>
      <c r="AI27" s="900" t="s">
        <v>805</v>
      </c>
      <c r="AJ27" s="978">
        <v>0</v>
      </c>
      <c r="AK27" s="751">
        <f>VLOOKUP(AI27,Düngemittel!$B$6:$E$64,2,FALSE)*(VLOOKUP(AI27,Düngemittel!$B$6:$E$64,3,FALSE))/100*AJ27</f>
        <v>0</v>
      </c>
      <c r="AL27" s="687">
        <f>VLOOKUP(AI27,Düngemittel!$B$6:$E$64,2,FALSE)*AJ27</f>
        <v>0</v>
      </c>
      <c r="AM27" s="687">
        <f>VLOOKUP(AI27,Düngemittel!$B$6:$E$64,4,FALSE)*AJ27</f>
        <v>0</v>
      </c>
      <c r="AN27" s="666"/>
      <c r="AO27" s="899"/>
      <c r="AP27" s="900" t="s">
        <v>805</v>
      </c>
      <c r="AQ27" s="978">
        <v>0</v>
      </c>
      <c r="AR27" s="751">
        <f>VLOOKUP(AP27,Düngemittel!$B$6:$E$64,2,FALSE)*(VLOOKUP(AP27,Düngemittel!$B$6:$E$64,3,FALSE))/100*AQ27</f>
        <v>0</v>
      </c>
      <c r="AS27" s="687">
        <f>VLOOKUP(AP27,Düngemittel!$B$6:$E$64,2,FALSE)*AQ27</f>
        <v>0</v>
      </c>
      <c r="AT27" s="687">
        <f>VLOOKUP(AP27,Düngemittel!$B$6:$E$64,4,FALSE)*AQ27</f>
        <v>0</v>
      </c>
      <c r="AU27" s="666"/>
      <c r="AV27" s="899"/>
      <c r="AW27" s="900" t="s">
        <v>805</v>
      </c>
      <c r="AX27" s="978">
        <v>0</v>
      </c>
      <c r="AY27" s="751">
        <f>VLOOKUP(AW27,Düngemittel!$B$6:$E$64,2,FALSE)*(VLOOKUP(AW27,Düngemittel!$B$6:$E$64,3,FALSE))/100*AX27</f>
        <v>0</v>
      </c>
      <c r="AZ27" s="687">
        <f>VLOOKUP(AW27,Düngemittel!$B$6:$E$64,2,FALSE)*AX27</f>
        <v>0</v>
      </c>
      <c r="BA27" s="687">
        <f>VLOOKUP(AW27,Düngemittel!$B$6:$E$64,4,FALSE)*AX27</f>
        <v>0</v>
      </c>
      <c r="BB27" s="666"/>
      <c r="BC27" s="853">
        <f t="shared" si="12"/>
        <v>0</v>
      </c>
      <c r="BD27" s="308">
        <f t="shared" si="13"/>
        <v>0</v>
      </c>
      <c r="BE27" s="853">
        <f t="shared" si="13"/>
        <v>0</v>
      </c>
      <c r="BF27" s="777">
        <f t="shared" si="14"/>
        <v>0</v>
      </c>
      <c r="BG27" s="308">
        <f t="shared" si="15"/>
        <v>0</v>
      </c>
      <c r="BH27" s="785"/>
      <c r="BI27" s="853">
        <f t="shared" si="16"/>
        <v>0</v>
      </c>
      <c r="BJ27" s="853">
        <f t="shared" si="17"/>
        <v>0</v>
      </c>
      <c r="BK27" s="853">
        <f t="shared" si="18"/>
        <v>0</v>
      </c>
      <c r="BL27" s="853">
        <f t="shared" si="19"/>
        <v>0</v>
      </c>
      <c r="BM27" s="853">
        <f t="shared" si="20"/>
        <v>0</v>
      </c>
      <c r="BN27" s="16"/>
      <c r="BS27" s="739"/>
      <c r="BT27" s="740" t="s">
        <v>89</v>
      </c>
      <c r="BU27" s="737">
        <v>40</v>
      </c>
      <c r="BV27" s="739"/>
      <c r="BW27" s="739"/>
      <c r="BX27" s="739"/>
    </row>
    <row r="28" spans="1:76" ht="23.25" customHeight="1" x14ac:dyDescent="0.25">
      <c r="A28" s="342">
        <v>21</v>
      </c>
      <c r="B28" s="1222">
        <v>0</v>
      </c>
      <c r="C28" s="632" t="s">
        <v>31</v>
      </c>
      <c r="D28" s="408">
        <f t="shared" si="0"/>
        <v>0</v>
      </c>
      <c r="E28" s="285">
        <f t="shared" si="1"/>
        <v>0</v>
      </c>
      <c r="F28" s="409">
        <f t="shared" si="7"/>
        <v>0</v>
      </c>
      <c r="G28" s="1242">
        <v>0</v>
      </c>
      <c r="H28" s="906">
        <v>0</v>
      </c>
      <c r="I28" s="413">
        <f t="shared" si="8"/>
        <v>0</v>
      </c>
      <c r="J28" s="433">
        <v>0</v>
      </c>
      <c r="K28" s="427">
        <f t="shared" si="9"/>
        <v>0</v>
      </c>
      <c r="L28" s="1220"/>
      <c r="M28" s="587">
        <f t="shared" si="2"/>
        <v>0</v>
      </c>
      <c r="N28" s="435">
        <f t="shared" si="3"/>
        <v>0</v>
      </c>
      <c r="O28" s="499">
        <f t="shared" si="4"/>
        <v>0</v>
      </c>
      <c r="P28" s="435">
        <f t="shared" si="5"/>
        <v>0</v>
      </c>
      <c r="Q28" s="723"/>
      <c r="R28" s="775">
        <f t="shared" si="10"/>
        <v>21</v>
      </c>
      <c r="S28" s="775" t="str">
        <f t="shared" si="11"/>
        <v>keine</v>
      </c>
      <c r="T28" s="901"/>
      <c r="U28" s="900" t="s">
        <v>805</v>
      </c>
      <c r="V28" s="324">
        <v>0</v>
      </c>
      <c r="W28" s="751">
        <f>VLOOKUP(U28,Düngemittel!$B$6:$E$64,2,FALSE)*(VLOOKUP(U28,Düngemittel!$B$6:$E$64,3,FALSE))/100*V28</f>
        <v>0</v>
      </c>
      <c r="X28" s="687">
        <f>VLOOKUP(U28,Düngemittel!$B$6:$E$64,2,FALSE)*V28</f>
        <v>0</v>
      </c>
      <c r="Y28" s="687">
        <f>VLOOKUP(U28,Düngemittel!$B$6:$E$64,4,FALSE)*V28</f>
        <v>0</v>
      </c>
      <c r="Z28" s="666"/>
      <c r="AA28" s="899"/>
      <c r="AB28" s="900" t="s">
        <v>805</v>
      </c>
      <c r="AC28" s="978">
        <v>0</v>
      </c>
      <c r="AD28" s="751">
        <f>VLOOKUP(AB28,Düngemittel!$B$6:$E$64,2,FALSE)*(VLOOKUP(AB28,Düngemittel!$B$6:$E$64,3,FALSE))/100*AC28</f>
        <v>0</v>
      </c>
      <c r="AE28" s="687">
        <f>VLOOKUP(AB28,Düngemittel!$B$6:$E$64,2,FALSE)*AC28</f>
        <v>0</v>
      </c>
      <c r="AF28" s="687">
        <f>VLOOKUP(AB28,Düngemittel!$B$6:$E$64,4,FALSE)*AC28</f>
        <v>0</v>
      </c>
      <c r="AG28" s="666"/>
      <c r="AH28" s="899"/>
      <c r="AI28" s="900" t="s">
        <v>805</v>
      </c>
      <c r="AJ28" s="978">
        <v>0</v>
      </c>
      <c r="AK28" s="751">
        <f>VLOOKUP(AI28,Düngemittel!$B$6:$E$64,2,FALSE)*(VLOOKUP(AI28,Düngemittel!$B$6:$E$64,3,FALSE))/100*AJ28</f>
        <v>0</v>
      </c>
      <c r="AL28" s="687">
        <f>VLOOKUP(AI28,Düngemittel!$B$6:$E$64,2,FALSE)*AJ28</f>
        <v>0</v>
      </c>
      <c r="AM28" s="687">
        <f>VLOOKUP(AI28,Düngemittel!$B$6:$E$64,4,FALSE)*AJ28</f>
        <v>0</v>
      </c>
      <c r="AN28" s="666"/>
      <c r="AO28" s="899"/>
      <c r="AP28" s="900" t="s">
        <v>805</v>
      </c>
      <c r="AQ28" s="978">
        <v>0</v>
      </c>
      <c r="AR28" s="751">
        <f>VLOOKUP(AP28,Düngemittel!$B$6:$E$64,2,FALSE)*(VLOOKUP(AP28,Düngemittel!$B$6:$E$64,3,FALSE))/100*AQ28</f>
        <v>0</v>
      </c>
      <c r="AS28" s="687">
        <f>VLOOKUP(AP28,Düngemittel!$B$6:$E$64,2,FALSE)*AQ28</f>
        <v>0</v>
      </c>
      <c r="AT28" s="687">
        <f>VLOOKUP(AP28,Düngemittel!$B$6:$E$64,4,FALSE)*AQ28</f>
        <v>0</v>
      </c>
      <c r="AU28" s="666"/>
      <c r="AV28" s="899"/>
      <c r="AW28" s="900" t="s">
        <v>805</v>
      </c>
      <c r="AX28" s="978">
        <v>0</v>
      </c>
      <c r="AY28" s="751">
        <f>VLOOKUP(AW28,Düngemittel!$B$6:$E$64,2,FALSE)*(VLOOKUP(AW28,Düngemittel!$B$6:$E$64,3,FALSE))/100*AX28</f>
        <v>0</v>
      </c>
      <c r="AZ28" s="687">
        <f>VLOOKUP(AW28,Düngemittel!$B$6:$E$64,2,FALSE)*AX28</f>
        <v>0</v>
      </c>
      <c r="BA28" s="687">
        <f>VLOOKUP(AW28,Düngemittel!$B$6:$E$64,4,FALSE)*AX28</f>
        <v>0</v>
      </c>
      <c r="BB28" s="666"/>
      <c r="BC28" s="853">
        <f t="shared" si="12"/>
        <v>0</v>
      </c>
      <c r="BD28" s="308">
        <f t="shared" si="13"/>
        <v>0</v>
      </c>
      <c r="BE28" s="853">
        <f t="shared" si="13"/>
        <v>0</v>
      </c>
      <c r="BF28" s="777">
        <f t="shared" si="14"/>
        <v>0</v>
      </c>
      <c r="BG28" s="308">
        <f t="shared" si="15"/>
        <v>0</v>
      </c>
      <c r="BH28" s="785"/>
      <c r="BI28" s="853">
        <f t="shared" si="16"/>
        <v>0</v>
      </c>
      <c r="BJ28" s="853">
        <f t="shared" si="17"/>
        <v>0</v>
      </c>
      <c r="BK28" s="853">
        <f t="shared" si="18"/>
        <v>0</v>
      </c>
      <c r="BL28" s="853">
        <f t="shared" si="19"/>
        <v>0</v>
      </c>
      <c r="BM28" s="853">
        <f t="shared" si="20"/>
        <v>0</v>
      </c>
      <c r="BN28" s="16"/>
      <c r="BO28" s="17"/>
      <c r="BP28" s="400"/>
      <c r="BQ28" s="400"/>
      <c r="BR28" s="400"/>
      <c r="BS28" s="739"/>
      <c r="BT28" s="740" t="s">
        <v>233</v>
      </c>
      <c r="BU28" s="737">
        <v>60</v>
      </c>
      <c r="BV28" s="739"/>
      <c r="BW28" s="739"/>
      <c r="BX28" s="739"/>
    </row>
    <row r="29" spans="1:76" ht="24" customHeight="1" x14ac:dyDescent="0.25">
      <c r="A29" s="342">
        <v>22</v>
      </c>
      <c r="B29" s="1222">
        <v>0</v>
      </c>
      <c r="C29" s="632" t="s">
        <v>31</v>
      </c>
      <c r="D29" s="408">
        <f t="shared" si="0"/>
        <v>0</v>
      </c>
      <c r="E29" s="285">
        <f t="shared" si="1"/>
        <v>0</v>
      </c>
      <c r="F29" s="409">
        <f t="shared" si="7"/>
        <v>0</v>
      </c>
      <c r="G29" s="1242">
        <v>0</v>
      </c>
      <c r="H29" s="906">
        <v>0</v>
      </c>
      <c r="I29" s="413">
        <f t="shared" si="8"/>
        <v>0</v>
      </c>
      <c r="J29" s="433">
        <v>0</v>
      </c>
      <c r="K29" s="427">
        <f t="shared" si="9"/>
        <v>0</v>
      </c>
      <c r="L29" s="1220"/>
      <c r="M29" s="587">
        <f t="shared" si="2"/>
        <v>0</v>
      </c>
      <c r="N29" s="435">
        <f t="shared" si="3"/>
        <v>0</v>
      </c>
      <c r="O29" s="499">
        <f t="shared" si="4"/>
        <v>0</v>
      </c>
      <c r="P29" s="435">
        <f t="shared" si="5"/>
        <v>0</v>
      </c>
      <c r="Q29" s="16"/>
      <c r="R29" s="775">
        <f t="shared" si="10"/>
        <v>22</v>
      </c>
      <c r="S29" s="775" t="str">
        <f t="shared" si="11"/>
        <v>keine</v>
      </c>
      <c r="T29" s="901"/>
      <c r="U29" s="900" t="s">
        <v>805</v>
      </c>
      <c r="V29" s="324">
        <v>0</v>
      </c>
      <c r="W29" s="751">
        <f>VLOOKUP(U29,Düngemittel!$B$6:$E$64,2,FALSE)*(VLOOKUP(U29,Düngemittel!$B$6:$E$64,3,FALSE))/100*V29</f>
        <v>0</v>
      </c>
      <c r="X29" s="687">
        <f>VLOOKUP(U29,Düngemittel!$B$6:$E$64,2,FALSE)*V29</f>
        <v>0</v>
      </c>
      <c r="Y29" s="687">
        <f>VLOOKUP(U29,Düngemittel!$B$6:$E$64,4,FALSE)*V29</f>
        <v>0</v>
      </c>
      <c r="Z29" s="666"/>
      <c r="AA29" s="899"/>
      <c r="AB29" s="900" t="s">
        <v>805</v>
      </c>
      <c r="AC29" s="978">
        <v>0</v>
      </c>
      <c r="AD29" s="751">
        <f>VLOOKUP(AB29,Düngemittel!$B$6:$E$64,2,FALSE)*(VLOOKUP(AB29,Düngemittel!$B$6:$E$64,3,FALSE))/100*AC29</f>
        <v>0</v>
      </c>
      <c r="AE29" s="687">
        <f>VLOOKUP(AB29,Düngemittel!$B$6:$E$64,2,FALSE)*AC29</f>
        <v>0</v>
      </c>
      <c r="AF29" s="687">
        <f>VLOOKUP(AB29,Düngemittel!$B$6:$E$64,4,FALSE)*AC29</f>
        <v>0</v>
      </c>
      <c r="AG29" s="666"/>
      <c r="AH29" s="899"/>
      <c r="AI29" s="900" t="s">
        <v>805</v>
      </c>
      <c r="AJ29" s="978">
        <v>0</v>
      </c>
      <c r="AK29" s="751">
        <f>VLOOKUP(AI29,Düngemittel!$B$6:$E$64,2,FALSE)*(VLOOKUP(AI29,Düngemittel!$B$6:$E$64,3,FALSE))/100*AJ29</f>
        <v>0</v>
      </c>
      <c r="AL29" s="687">
        <f>VLOOKUP(AI29,Düngemittel!$B$6:$E$64,2,FALSE)*AJ29</f>
        <v>0</v>
      </c>
      <c r="AM29" s="687">
        <f>VLOOKUP(AI29,Düngemittel!$B$6:$E$64,4,FALSE)*AJ29</f>
        <v>0</v>
      </c>
      <c r="AN29" s="666"/>
      <c r="AO29" s="899"/>
      <c r="AP29" s="900" t="s">
        <v>805</v>
      </c>
      <c r="AQ29" s="978">
        <v>0</v>
      </c>
      <c r="AR29" s="751">
        <f>VLOOKUP(AP29,Düngemittel!$B$6:$E$64,2,FALSE)*(VLOOKUP(AP29,Düngemittel!$B$6:$E$64,3,FALSE))/100*AQ29</f>
        <v>0</v>
      </c>
      <c r="AS29" s="687">
        <f>VLOOKUP(AP29,Düngemittel!$B$6:$E$64,2,FALSE)*AQ29</f>
        <v>0</v>
      </c>
      <c r="AT29" s="687">
        <f>VLOOKUP(AP29,Düngemittel!$B$6:$E$64,4,FALSE)*AQ29</f>
        <v>0</v>
      </c>
      <c r="AU29" s="666"/>
      <c r="AV29" s="899"/>
      <c r="AW29" s="900" t="s">
        <v>805</v>
      </c>
      <c r="AX29" s="978">
        <v>0</v>
      </c>
      <c r="AY29" s="751">
        <f>VLOOKUP(AW29,Düngemittel!$B$6:$E$64,2,FALSE)*(VLOOKUP(AW29,Düngemittel!$B$6:$E$64,3,FALSE))/100*AX29</f>
        <v>0</v>
      </c>
      <c r="AZ29" s="687">
        <f>VLOOKUP(AW29,Düngemittel!$B$6:$E$64,2,FALSE)*AX29</f>
        <v>0</v>
      </c>
      <c r="BA29" s="687">
        <f>VLOOKUP(AW29,Düngemittel!$B$6:$E$64,4,FALSE)*AX29</f>
        <v>0</v>
      </c>
      <c r="BB29" s="666"/>
      <c r="BC29" s="853">
        <f t="shared" si="12"/>
        <v>0</v>
      </c>
      <c r="BD29" s="308">
        <f t="shared" si="13"/>
        <v>0</v>
      </c>
      <c r="BE29" s="853">
        <f t="shared" si="13"/>
        <v>0</v>
      </c>
      <c r="BF29" s="777">
        <f t="shared" si="14"/>
        <v>0</v>
      </c>
      <c r="BG29" s="308">
        <f t="shared" si="15"/>
        <v>0</v>
      </c>
      <c r="BH29" s="785"/>
      <c r="BI29" s="853">
        <f t="shared" si="16"/>
        <v>0</v>
      </c>
      <c r="BJ29" s="853">
        <f t="shared" si="17"/>
        <v>0</v>
      </c>
      <c r="BK29" s="853">
        <f t="shared" si="18"/>
        <v>0</v>
      </c>
      <c r="BL29" s="853">
        <f t="shared" si="19"/>
        <v>0</v>
      </c>
      <c r="BM29" s="853">
        <f t="shared" si="20"/>
        <v>0</v>
      </c>
      <c r="BN29" s="16"/>
      <c r="BO29" s="17"/>
      <c r="BQ29" s="400"/>
      <c r="BR29" s="400"/>
      <c r="BS29" s="352"/>
    </row>
    <row r="30" spans="1:76" ht="24" customHeight="1" x14ac:dyDescent="0.25">
      <c r="A30" s="342">
        <v>23</v>
      </c>
      <c r="B30" s="1222">
        <v>0</v>
      </c>
      <c r="C30" s="632" t="s">
        <v>31</v>
      </c>
      <c r="D30" s="408">
        <f t="shared" si="0"/>
        <v>0</v>
      </c>
      <c r="E30" s="285">
        <f t="shared" si="1"/>
        <v>0</v>
      </c>
      <c r="F30" s="409">
        <f t="shared" si="7"/>
        <v>0</v>
      </c>
      <c r="G30" s="1242">
        <v>0</v>
      </c>
      <c r="H30" s="906">
        <v>0</v>
      </c>
      <c r="I30" s="413">
        <f t="shared" si="8"/>
        <v>0</v>
      </c>
      <c r="J30" s="433">
        <v>0</v>
      </c>
      <c r="K30" s="427">
        <f t="shared" si="9"/>
        <v>0</v>
      </c>
      <c r="L30" s="1220"/>
      <c r="M30" s="587">
        <f t="shared" si="2"/>
        <v>0</v>
      </c>
      <c r="N30" s="435">
        <f t="shared" si="3"/>
        <v>0</v>
      </c>
      <c r="O30" s="499">
        <f t="shared" si="4"/>
        <v>0</v>
      </c>
      <c r="P30" s="435">
        <f t="shared" si="5"/>
        <v>0</v>
      </c>
      <c r="Q30" s="16"/>
      <c r="R30" s="775">
        <f t="shared" si="10"/>
        <v>23</v>
      </c>
      <c r="S30" s="775" t="str">
        <f t="shared" si="11"/>
        <v>keine</v>
      </c>
      <c r="T30" s="901"/>
      <c r="U30" s="900" t="s">
        <v>805</v>
      </c>
      <c r="V30" s="324">
        <v>0</v>
      </c>
      <c r="W30" s="751">
        <f>VLOOKUP(U30,Düngemittel!$B$6:$E$64,2,FALSE)*(VLOOKUP(U30,Düngemittel!$B$6:$E$64,3,FALSE))/100*V30</f>
        <v>0</v>
      </c>
      <c r="X30" s="687">
        <f>VLOOKUP(U30,Düngemittel!$B$6:$E$64,2,FALSE)*V30</f>
        <v>0</v>
      </c>
      <c r="Y30" s="687">
        <f>VLOOKUP(U30,Düngemittel!$B$6:$E$64,4,FALSE)*V30</f>
        <v>0</v>
      </c>
      <c r="Z30" s="666"/>
      <c r="AA30" s="899"/>
      <c r="AB30" s="900" t="s">
        <v>805</v>
      </c>
      <c r="AC30" s="978">
        <v>0</v>
      </c>
      <c r="AD30" s="751">
        <f>VLOOKUP(AB30,Düngemittel!$B$6:$E$64,2,FALSE)*(VLOOKUP(AB30,Düngemittel!$B$6:$E$64,3,FALSE))/100*AC30</f>
        <v>0</v>
      </c>
      <c r="AE30" s="687">
        <f>VLOOKUP(AB30,Düngemittel!$B$6:$E$64,2,FALSE)*AC30</f>
        <v>0</v>
      </c>
      <c r="AF30" s="687">
        <f>VLOOKUP(AB30,Düngemittel!$B$6:$E$64,4,FALSE)*AC30</f>
        <v>0</v>
      </c>
      <c r="AG30" s="666"/>
      <c r="AH30" s="899"/>
      <c r="AI30" s="900" t="s">
        <v>805</v>
      </c>
      <c r="AJ30" s="978">
        <v>0</v>
      </c>
      <c r="AK30" s="751">
        <f>VLOOKUP(AI30,Düngemittel!$B$6:$E$64,2,FALSE)*(VLOOKUP(AI30,Düngemittel!$B$6:$E$64,3,FALSE))/100*AJ30</f>
        <v>0</v>
      </c>
      <c r="AL30" s="687">
        <f>VLOOKUP(AI30,Düngemittel!$B$6:$E$64,2,FALSE)*AJ30</f>
        <v>0</v>
      </c>
      <c r="AM30" s="687">
        <f>VLOOKUP(AI30,Düngemittel!$B$6:$E$64,4,FALSE)*AJ30</f>
        <v>0</v>
      </c>
      <c r="AN30" s="666"/>
      <c r="AO30" s="899"/>
      <c r="AP30" s="900" t="s">
        <v>805</v>
      </c>
      <c r="AQ30" s="978">
        <v>0</v>
      </c>
      <c r="AR30" s="751">
        <f>VLOOKUP(AP30,Düngemittel!$B$6:$E$64,2,FALSE)*(VLOOKUP(AP30,Düngemittel!$B$6:$E$64,3,FALSE))/100*AQ30</f>
        <v>0</v>
      </c>
      <c r="AS30" s="687">
        <f>VLOOKUP(AP30,Düngemittel!$B$6:$E$64,2,FALSE)*AQ30</f>
        <v>0</v>
      </c>
      <c r="AT30" s="687">
        <f>VLOOKUP(AP30,Düngemittel!$B$6:$E$64,4,FALSE)*AQ30</f>
        <v>0</v>
      </c>
      <c r="AU30" s="666"/>
      <c r="AV30" s="899"/>
      <c r="AW30" s="900" t="s">
        <v>805</v>
      </c>
      <c r="AX30" s="978">
        <v>0</v>
      </c>
      <c r="AY30" s="751">
        <f>VLOOKUP(AW30,Düngemittel!$B$6:$E$64,2,FALSE)*(VLOOKUP(AW30,Düngemittel!$B$6:$E$64,3,FALSE))/100*AX30</f>
        <v>0</v>
      </c>
      <c r="AZ30" s="687">
        <f>VLOOKUP(AW30,Düngemittel!$B$6:$E$64,2,FALSE)*AX30</f>
        <v>0</v>
      </c>
      <c r="BA30" s="687">
        <f>VLOOKUP(AW30,Düngemittel!$B$6:$E$64,4,FALSE)*AX30</f>
        <v>0</v>
      </c>
      <c r="BB30" s="666"/>
      <c r="BC30" s="853">
        <f t="shared" si="12"/>
        <v>0</v>
      </c>
      <c r="BD30" s="308">
        <f t="shared" si="13"/>
        <v>0</v>
      </c>
      <c r="BE30" s="853">
        <f t="shared" si="13"/>
        <v>0</v>
      </c>
      <c r="BF30" s="777">
        <f t="shared" si="14"/>
        <v>0</v>
      </c>
      <c r="BG30" s="308">
        <f t="shared" si="15"/>
        <v>0</v>
      </c>
      <c r="BH30" s="785"/>
      <c r="BI30" s="853">
        <f t="shared" si="16"/>
        <v>0</v>
      </c>
      <c r="BJ30" s="853">
        <f t="shared" si="17"/>
        <v>0</v>
      </c>
      <c r="BK30" s="853">
        <f t="shared" si="18"/>
        <v>0</v>
      </c>
      <c r="BL30" s="853">
        <f t="shared" si="19"/>
        <v>0</v>
      </c>
      <c r="BM30" s="853">
        <f t="shared" si="20"/>
        <v>0</v>
      </c>
      <c r="BN30" s="16"/>
      <c r="BO30" s="148"/>
      <c r="BQ30" s="400"/>
    </row>
    <row r="31" spans="1:76" ht="24" customHeight="1" thickBot="1" x14ac:dyDescent="0.3">
      <c r="A31" s="342">
        <v>24</v>
      </c>
      <c r="B31" s="1222">
        <v>0</v>
      </c>
      <c r="C31" s="632" t="s">
        <v>31</v>
      </c>
      <c r="D31" s="408">
        <f t="shared" si="0"/>
        <v>0</v>
      </c>
      <c r="E31" s="285">
        <f t="shared" si="1"/>
        <v>0</v>
      </c>
      <c r="F31" s="409">
        <f t="shared" si="7"/>
        <v>0</v>
      </c>
      <c r="G31" s="1242">
        <v>0</v>
      </c>
      <c r="H31" s="906">
        <v>0</v>
      </c>
      <c r="I31" s="413">
        <f t="shared" si="8"/>
        <v>0</v>
      </c>
      <c r="J31" s="433">
        <v>0</v>
      </c>
      <c r="K31" s="427">
        <f t="shared" si="9"/>
        <v>0</v>
      </c>
      <c r="L31" s="1220"/>
      <c r="M31" s="587">
        <f t="shared" si="2"/>
        <v>0</v>
      </c>
      <c r="N31" s="435">
        <f t="shared" si="3"/>
        <v>0</v>
      </c>
      <c r="O31" s="499">
        <f t="shared" si="4"/>
        <v>0</v>
      </c>
      <c r="P31" s="435">
        <f t="shared" si="5"/>
        <v>0</v>
      </c>
      <c r="Q31" s="16"/>
      <c r="R31" s="775">
        <f t="shared" si="10"/>
        <v>24</v>
      </c>
      <c r="S31" s="775" t="str">
        <f t="shared" si="11"/>
        <v>keine</v>
      </c>
      <c r="T31" s="886"/>
      <c r="U31" s="887" t="s">
        <v>805</v>
      </c>
      <c r="V31" s="906">
        <v>0</v>
      </c>
      <c r="W31" s="751">
        <f>VLOOKUP(U31,Düngemittel!$B$6:$E$64,2,FALSE)*(VLOOKUP(U31,Düngemittel!$B$6:$E$64,3,FALSE))/100*V31</f>
        <v>0</v>
      </c>
      <c r="X31" s="687">
        <f>VLOOKUP(U31,Düngemittel!$B$6:$E$64,2,FALSE)*V31</f>
        <v>0</v>
      </c>
      <c r="Y31" s="687">
        <f>VLOOKUP(U31,Düngemittel!$B$6:$E$64,4,FALSE)*V31</f>
        <v>0</v>
      </c>
      <c r="Z31" s="666"/>
      <c r="AA31" s="899"/>
      <c r="AB31" s="900" t="s">
        <v>805</v>
      </c>
      <c r="AC31" s="978">
        <v>0</v>
      </c>
      <c r="AD31" s="751">
        <f>VLOOKUP(AB31,Düngemittel!$B$6:$E$64,2,FALSE)*(VLOOKUP(AB31,Düngemittel!$B$6:$E$64,3,FALSE))/100*AC31</f>
        <v>0</v>
      </c>
      <c r="AE31" s="687">
        <f>VLOOKUP(AB31,Düngemittel!$B$6:$E$64,2,FALSE)*AC31</f>
        <v>0</v>
      </c>
      <c r="AF31" s="687">
        <f>VLOOKUP(AB31,Düngemittel!$B$6:$E$64,4,FALSE)*AC31</f>
        <v>0</v>
      </c>
      <c r="AG31" s="666"/>
      <c r="AH31" s="899"/>
      <c r="AI31" s="900" t="s">
        <v>805</v>
      </c>
      <c r="AJ31" s="978">
        <v>0</v>
      </c>
      <c r="AK31" s="751">
        <f>VLOOKUP(AI31,Düngemittel!$B$6:$E$64,2,FALSE)*(VLOOKUP(AI31,Düngemittel!$B$6:$E$64,3,FALSE))/100*AJ31</f>
        <v>0</v>
      </c>
      <c r="AL31" s="687">
        <f>VLOOKUP(AI31,Düngemittel!$B$6:$E$64,2,FALSE)*AJ31</f>
        <v>0</v>
      </c>
      <c r="AM31" s="687">
        <f>VLOOKUP(AI31,Düngemittel!$B$6:$E$64,4,FALSE)*AJ31</f>
        <v>0</v>
      </c>
      <c r="AN31" s="666"/>
      <c r="AO31" s="899"/>
      <c r="AP31" s="900" t="s">
        <v>805</v>
      </c>
      <c r="AQ31" s="978">
        <v>0</v>
      </c>
      <c r="AR31" s="751">
        <f>VLOOKUP(AP31,Düngemittel!$B$6:$E$64,2,FALSE)*(VLOOKUP(AP31,Düngemittel!$B$6:$E$64,3,FALSE))/100*AQ31</f>
        <v>0</v>
      </c>
      <c r="AS31" s="687">
        <f>VLOOKUP(AP31,Düngemittel!$B$6:$E$64,2,FALSE)*AQ31</f>
        <v>0</v>
      </c>
      <c r="AT31" s="687">
        <f>VLOOKUP(AP31,Düngemittel!$B$6:$E$64,4,FALSE)*AQ31</f>
        <v>0</v>
      </c>
      <c r="AU31" s="666"/>
      <c r="AV31" s="899"/>
      <c r="AW31" s="900" t="s">
        <v>805</v>
      </c>
      <c r="AX31" s="978">
        <v>0</v>
      </c>
      <c r="AY31" s="751">
        <f>VLOOKUP(AW31,Düngemittel!$B$6:$E$64,2,FALSE)*(VLOOKUP(AW31,Düngemittel!$B$6:$E$64,3,FALSE))/100*AX31</f>
        <v>0</v>
      </c>
      <c r="AZ31" s="687">
        <f>VLOOKUP(AW31,Düngemittel!$B$6:$E$64,2,FALSE)*AX31</f>
        <v>0</v>
      </c>
      <c r="BA31" s="687">
        <f>VLOOKUP(AW31,Düngemittel!$B$6:$E$64,4,FALSE)*AX31</f>
        <v>0</v>
      </c>
      <c r="BB31" s="666"/>
      <c r="BC31" s="853">
        <f t="shared" si="12"/>
        <v>0</v>
      </c>
      <c r="BD31" s="308">
        <f t="shared" si="13"/>
        <v>0</v>
      </c>
      <c r="BE31" s="853">
        <f t="shared" si="13"/>
        <v>0</v>
      </c>
      <c r="BF31" s="777">
        <f t="shared" si="14"/>
        <v>0</v>
      </c>
      <c r="BG31" s="308">
        <f t="shared" si="15"/>
        <v>0</v>
      </c>
      <c r="BH31" s="785"/>
      <c r="BI31" s="853">
        <f t="shared" si="16"/>
        <v>0</v>
      </c>
      <c r="BJ31" s="853">
        <f t="shared" si="17"/>
        <v>0</v>
      </c>
      <c r="BK31" s="853">
        <f t="shared" si="18"/>
        <v>0</v>
      </c>
      <c r="BL31" s="853">
        <f t="shared" si="19"/>
        <v>0</v>
      </c>
      <c r="BM31" s="853">
        <f t="shared" si="20"/>
        <v>0</v>
      </c>
      <c r="BN31" s="16"/>
      <c r="BO31" s="148"/>
      <c r="BQ31" s="732"/>
    </row>
    <row r="32" spans="1:76" ht="23.25" customHeight="1" thickBot="1" x14ac:dyDescent="0.3">
      <c r="A32" s="410" t="s">
        <v>292</v>
      </c>
      <c r="B32" s="772">
        <f>SUM(B8:B31)</f>
        <v>5</v>
      </c>
      <c r="C32" s="815" t="s">
        <v>1132</v>
      </c>
      <c r="D32" s="816"/>
      <c r="E32" s="817"/>
      <c r="F32" s="375"/>
      <c r="G32" s="375"/>
      <c r="H32" s="375"/>
      <c r="I32" s="375"/>
      <c r="J32" s="375"/>
      <c r="K32" s="375"/>
      <c r="L32" s="375"/>
      <c r="M32" s="385" t="s">
        <v>1037</v>
      </c>
      <c r="N32" s="380">
        <f>SUM(N8:N31)</f>
        <v>706</v>
      </c>
      <c r="O32" s="496"/>
      <c r="P32" s="380">
        <f>SUM(P8:P31)</f>
        <v>375</v>
      </c>
      <c r="Q32" s="47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24"/>
      <c r="BD32" s="60"/>
      <c r="BE32" s="60"/>
      <c r="BF32" s="224"/>
      <c r="BG32" s="60"/>
      <c r="BH32" s="272"/>
      <c r="BI32" s="308">
        <f>SUM(BI5:BI31)</f>
        <v>202.5</v>
      </c>
      <c r="BJ32" s="308">
        <f>SUM(BJ5:BJ31)</f>
        <v>364.5</v>
      </c>
      <c r="BK32" s="308">
        <f>SUM(BK5:BK31)</f>
        <v>472.5</v>
      </c>
      <c r="BL32" s="308">
        <f>SUM(BL5:BL31)</f>
        <v>270</v>
      </c>
      <c r="BM32" s="308">
        <f>SUM(BM5:BM31)</f>
        <v>112.5</v>
      </c>
      <c r="BN32" s="782" t="s">
        <v>1097</v>
      </c>
      <c r="BR32" s="125"/>
    </row>
    <row r="33" spans="1:70" ht="24" customHeight="1" x14ac:dyDescent="0.25">
      <c r="A33" s="746"/>
      <c r="B33" s="773"/>
      <c r="D33" s="80"/>
      <c r="E33" s="112"/>
      <c r="M33" s="42"/>
      <c r="N33" s="1310" t="s">
        <v>1118</v>
      </c>
      <c r="P33" s="1310" t="s">
        <v>1119</v>
      </c>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462">
        <f>BI33</f>
        <v>40.5</v>
      </c>
      <c r="BD33" s="462">
        <f t="shared" ref="BD33:BG33" si="21">BJ33</f>
        <v>72.900000000000006</v>
      </c>
      <c r="BE33" s="462">
        <f t="shared" si="21"/>
        <v>94.5</v>
      </c>
      <c r="BF33" s="777">
        <f t="shared" si="21"/>
        <v>54</v>
      </c>
      <c r="BG33" s="462">
        <f t="shared" si="21"/>
        <v>22.5</v>
      </c>
      <c r="BH33" s="272"/>
      <c r="BI33" s="784">
        <f>BI32/$B32</f>
        <v>40.5</v>
      </c>
      <c r="BJ33" s="308">
        <f>BJ32/$B32</f>
        <v>72.900000000000006</v>
      </c>
      <c r="BK33" s="784">
        <f>BK32/$B32</f>
        <v>94.5</v>
      </c>
      <c r="BL33" s="777">
        <f>BL32/$B32</f>
        <v>54</v>
      </c>
      <c r="BM33" s="308">
        <f>BM32/$B32</f>
        <v>22.5</v>
      </c>
      <c r="BN33" s="782" t="s">
        <v>1076</v>
      </c>
      <c r="BR33" s="125"/>
    </row>
    <row r="34" spans="1:70" ht="54" customHeight="1" thickBot="1" x14ac:dyDescent="0.3">
      <c r="A34" s="519"/>
      <c r="B34" s="805"/>
      <c r="D34" s="80"/>
      <c r="E34" s="112"/>
      <c r="M34" s="272"/>
      <c r="N34" s="1311"/>
      <c r="P34" s="1311"/>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775" t="s">
        <v>1096</v>
      </c>
      <c r="BD34" s="312" t="s">
        <v>1082</v>
      </c>
      <c r="BE34" s="312" t="s">
        <v>1083</v>
      </c>
      <c r="BF34" s="699" t="s">
        <v>1268</v>
      </c>
      <c r="BG34" s="312" t="s">
        <v>290</v>
      </c>
      <c r="BH34" s="519"/>
      <c r="BI34" s="780" t="s">
        <v>1096</v>
      </c>
      <c r="BJ34" s="312" t="s">
        <v>1082</v>
      </c>
      <c r="BK34" s="781" t="s">
        <v>1098</v>
      </c>
      <c r="BL34" s="699" t="s">
        <v>1268</v>
      </c>
      <c r="BM34" s="312" t="s">
        <v>290</v>
      </c>
      <c r="BR34" s="125"/>
    </row>
    <row r="35" spans="1:70" ht="24" customHeight="1" x14ac:dyDescent="0.25">
      <c r="B35" s="112"/>
      <c r="D35" s="80"/>
      <c r="E35" s="112"/>
      <c r="J35" s="151"/>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722"/>
      <c r="BI35" s="722"/>
      <c r="BJ35" s="83"/>
      <c r="BK35" s="83"/>
      <c r="BL35" s="83"/>
      <c r="BM35" s="83"/>
      <c r="BR35" s="125"/>
    </row>
    <row r="36" spans="1:70" ht="24.75" customHeight="1" x14ac:dyDescent="0.25">
      <c r="A36" s="1384" t="s">
        <v>1084</v>
      </c>
      <c r="B36" s="1385"/>
      <c r="C36" s="1387" t="s">
        <v>1088</v>
      </c>
      <c r="D36" s="1388"/>
      <c r="E36" s="1388"/>
      <c r="F36" s="1388"/>
      <c r="G36" s="1388"/>
      <c r="H36" s="1388"/>
      <c r="I36" s="1388"/>
      <c r="J36" s="1388"/>
      <c r="K36" s="1388"/>
      <c r="L36" s="1379"/>
      <c r="M36" s="1379"/>
      <c r="N36" s="1379"/>
      <c r="O36" s="1331"/>
      <c r="P36" s="1332"/>
      <c r="Q36" s="47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357"/>
      <c r="BR36" s="130"/>
    </row>
    <row r="37" spans="1:70" ht="32.25" customHeight="1" x14ac:dyDescent="0.25">
      <c r="A37" s="1385"/>
      <c r="B37" s="1385"/>
      <c r="C37" s="1389"/>
      <c r="D37" s="1390"/>
      <c r="E37" s="1390"/>
      <c r="F37" s="1390"/>
      <c r="G37" s="1390"/>
      <c r="H37" s="1390"/>
      <c r="I37" s="1390"/>
      <c r="J37" s="1390"/>
      <c r="K37" s="1390"/>
      <c r="L37" s="1293"/>
      <c r="M37" s="1293"/>
      <c r="N37" s="1293"/>
      <c r="O37" s="1336"/>
      <c r="P37" s="1337"/>
      <c r="Q37" s="476"/>
      <c r="R37" s="476"/>
      <c r="S37" s="476"/>
      <c r="T37" s="476"/>
      <c r="U37" s="476"/>
      <c r="V37" s="476"/>
      <c r="W37" s="476"/>
      <c r="X37" s="476"/>
      <c r="Y37" s="476"/>
      <c r="Z37" s="476"/>
      <c r="AA37" s="476"/>
      <c r="AB37" s="476"/>
      <c r="AC37" s="476"/>
      <c r="AD37" s="476"/>
      <c r="AE37" s="476"/>
      <c r="AF37" s="476"/>
      <c r="AG37" s="476"/>
      <c r="AH37" s="476"/>
      <c r="AI37" s="476"/>
      <c r="AJ37" s="476"/>
      <c r="AK37" s="476"/>
      <c r="AL37" s="476"/>
      <c r="AM37" s="476"/>
      <c r="AN37" s="476"/>
      <c r="AO37" s="476"/>
      <c r="AP37" s="476"/>
      <c r="AQ37" s="476"/>
      <c r="AR37" s="476"/>
      <c r="AS37" s="476"/>
      <c r="AT37" s="476"/>
      <c r="AU37" s="476"/>
      <c r="AV37" s="476"/>
      <c r="AW37" s="476"/>
      <c r="AX37" s="476"/>
      <c r="AY37" s="476"/>
      <c r="AZ37" s="476"/>
      <c r="BA37" s="476"/>
      <c r="BB37" s="476"/>
      <c r="BC37" s="476"/>
      <c r="BD37" s="476"/>
      <c r="BE37" s="476"/>
      <c r="BF37" s="476"/>
      <c r="BG37" s="476"/>
      <c r="BH37" s="476"/>
      <c r="BI37" s="476"/>
      <c r="BJ37" s="476"/>
      <c r="BK37" s="476"/>
      <c r="BL37" s="476"/>
      <c r="BM37" s="476"/>
      <c r="BO37" s="17"/>
      <c r="BR37" s="130"/>
    </row>
    <row r="38" spans="1:70" ht="30.75" customHeight="1" x14ac:dyDescent="0.25">
      <c r="A38" s="1386"/>
      <c r="B38" s="1386"/>
      <c r="C38" s="1391"/>
      <c r="D38" s="1341"/>
      <c r="E38" s="1341"/>
      <c r="F38" s="1341"/>
      <c r="G38" s="1341"/>
      <c r="H38" s="1341"/>
      <c r="I38" s="1341"/>
      <c r="J38" s="1341"/>
      <c r="K38" s="1341"/>
      <c r="L38" s="1341"/>
      <c r="M38" s="1341"/>
      <c r="N38" s="1341"/>
      <c r="O38" s="1341"/>
      <c r="P38" s="1342"/>
      <c r="Q38" s="476"/>
      <c r="BO38" s="356"/>
      <c r="BP38" s="400"/>
    </row>
    <row r="39" spans="1:70" ht="30.75" customHeight="1" x14ac:dyDescent="0.25">
      <c r="B39" s="112"/>
      <c r="D39" s="80"/>
      <c r="E39" s="112"/>
      <c r="J39" s="151"/>
      <c r="Q39" s="726"/>
      <c r="R39" s="725"/>
      <c r="S39" s="725"/>
      <c r="T39" s="725"/>
      <c r="U39" s="725"/>
      <c r="V39" s="725"/>
      <c r="W39" s="725"/>
      <c r="X39" s="725"/>
      <c r="Y39" s="725"/>
      <c r="Z39" s="725"/>
      <c r="AA39" s="725"/>
      <c r="AB39" s="725"/>
      <c r="AC39" s="725"/>
      <c r="AD39" s="725"/>
      <c r="AE39" s="725"/>
      <c r="AF39" s="725"/>
      <c r="AG39" s="725"/>
      <c r="AH39" s="725"/>
      <c r="AI39" s="725"/>
      <c r="AJ39" s="725"/>
      <c r="AK39" s="725"/>
      <c r="AL39" s="725"/>
      <c r="AM39" s="725"/>
      <c r="AN39" s="725"/>
      <c r="AO39" s="725"/>
      <c r="AP39" s="725"/>
      <c r="AQ39" s="725"/>
      <c r="AR39" s="725"/>
      <c r="AS39" s="725"/>
      <c r="AT39" s="725"/>
      <c r="AU39" s="725"/>
      <c r="AV39" s="725"/>
      <c r="AW39" s="725"/>
      <c r="AX39" s="725"/>
      <c r="AY39" s="725"/>
      <c r="AZ39" s="725"/>
      <c r="BA39" s="725"/>
      <c r="BB39" s="725"/>
      <c r="BC39" s="725"/>
      <c r="BD39" s="725"/>
      <c r="BE39" s="725"/>
      <c r="BF39" s="725"/>
      <c r="BG39" s="725"/>
      <c r="BH39" s="725"/>
      <c r="BI39" s="725"/>
      <c r="BJ39" s="725"/>
      <c r="BK39" s="725"/>
      <c r="BL39" s="725"/>
      <c r="BM39" s="725"/>
      <c r="BO39" s="400"/>
      <c r="BP39" s="400"/>
    </row>
    <row r="40" spans="1:70" ht="19.5" customHeight="1" x14ac:dyDescent="0.25">
      <c r="A40" s="1320" t="s">
        <v>617</v>
      </c>
      <c r="B40" s="1321"/>
      <c r="C40" s="1347" t="s">
        <v>1089</v>
      </c>
      <c r="D40" s="1281"/>
      <c r="E40" s="1281"/>
      <c r="F40" s="1281"/>
      <c r="G40" s="1281"/>
      <c r="H40" s="1281"/>
      <c r="I40" s="1281"/>
      <c r="J40" s="1281"/>
      <c r="K40" s="1281"/>
      <c r="L40" s="1281"/>
      <c r="M40" s="1281"/>
      <c r="N40" s="1281"/>
      <c r="O40" s="1348"/>
      <c r="P40" s="1348"/>
      <c r="Q40" s="357"/>
      <c r="R40" s="476"/>
      <c r="S40" s="476"/>
      <c r="T40" s="476"/>
      <c r="U40" s="476"/>
      <c r="V40" s="476"/>
      <c r="W40" s="476"/>
      <c r="X40" s="476"/>
      <c r="Y40" s="476"/>
      <c r="Z40" s="476"/>
      <c r="AA40" s="476"/>
      <c r="AB40" s="476"/>
      <c r="AC40" s="476"/>
      <c r="AD40" s="476"/>
      <c r="AE40" s="476"/>
      <c r="AF40" s="476"/>
      <c r="AG40" s="476"/>
      <c r="AH40" s="476"/>
      <c r="AI40" s="476"/>
      <c r="AJ40" s="476"/>
      <c r="AK40" s="476"/>
      <c r="AL40" s="476"/>
      <c r="AM40" s="476"/>
      <c r="AN40" s="476"/>
      <c r="AO40" s="476"/>
      <c r="AP40" s="476"/>
      <c r="AQ40" s="476"/>
      <c r="AR40" s="476"/>
      <c r="AS40" s="476"/>
      <c r="AT40" s="476"/>
      <c r="AU40" s="476"/>
      <c r="AV40" s="476"/>
      <c r="AW40" s="476"/>
      <c r="AX40" s="476"/>
      <c r="AY40" s="476"/>
      <c r="AZ40" s="476"/>
      <c r="BA40" s="476"/>
      <c r="BB40" s="476"/>
      <c r="BC40" s="476"/>
      <c r="BD40" s="476"/>
      <c r="BE40" s="476"/>
      <c r="BF40" s="476"/>
      <c r="BG40" s="476"/>
      <c r="BH40" s="476"/>
      <c r="BI40" s="476"/>
      <c r="BJ40" s="476"/>
      <c r="BK40" s="476"/>
      <c r="BL40" s="476"/>
      <c r="BM40" s="476"/>
      <c r="BO40" s="400"/>
      <c r="BP40" s="400"/>
    </row>
    <row r="41" spans="1:70" ht="15.75" customHeight="1" x14ac:dyDescent="0.25">
      <c r="A41" s="1322"/>
      <c r="B41" s="1323"/>
      <c r="C41" s="1281"/>
      <c r="D41" s="1281"/>
      <c r="E41" s="1281"/>
      <c r="F41" s="1281"/>
      <c r="G41" s="1281"/>
      <c r="H41" s="1281"/>
      <c r="I41" s="1281"/>
      <c r="J41" s="1281"/>
      <c r="K41" s="1281"/>
      <c r="L41" s="1281"/>
      <c r="M41" s="1281"/>
      <c r="N41" s="1281"/>
      <c r="O41" s="1348"/>
      <c r="P41" s="1348"/>
      <c r="R41" s="476"/>
      <c r="S41" s="476"/>
      <c r="T41" s="476"/>
      <c r="U41" s="476"/>
      <c r="V41" s="476"/>
      <c r="W41" s="476"/>
      <c r="X41" s="476"/>
      <c r="Y41" s="476"/>
      <c r="Z41" s="476"/>
      <c r="AA41" s="476"/>
      <c r="AB41" s="476"/>
      <c r="AC41" s="476"/>
      <c r="AD41" s="476"/>
      <c r="AE41" s="476"/>
      <c r="AF41" s="476"/>
      <c r="AG41" s="476"/>
      <c r="AH41" s="476"/>
      <c r="AI41" s="476"/>
      <c r="AJ41" s="476"/>
      <c r="AK41" s="476"/>
      <c r="AL41" s="476"/>
      <c r="AM41" s="476"/>
      <c r="AN41" s="476"/>
      <c r="AO41" s="476"/>
      <c r="AP41" s="476"/>
      <c r="AQ41" s="476"/>
      <c r="AR41" s="476"/>
      <c r="AS41" s="476"/>
      <c r="AT41" s="476"/>
      <c r="AU41" s="476"/>
      <c r="AV41" s="476"/>
      <c r="AW41" s="476"/>
      <c r="AX41" s="476"/>
      <c r="AY41" s="476"/>
      <c r="AZ41" s="476"/>
      <c r="BA41" s="476"/>
      <c r="BB41" s="476"/>
      <c r="BC41" s="476"/>
      <c r="BD41" s="476"/>
      <c r="BE41" s="476"/>
      <c r="BF41" s="476"/>
      <c r="BG41" s="476"/>
      <c r="BH41" s="476"/>
      <c r="BI41" s="476"/>
      <c r="BJ41" s="476"/>
      <c r="BK41" s="476"/>
      <c r="BL41" s="476"/>
      <c r="BM41" s="476"/>
      <c r="BO41" s="400"/>
      <c r="BP41" s="400"/>
      <c r="BR41" s="125"/>
    </row>
    <row r="42" spans="1:70" ht="15.75" customHeight="1" x14ac:dyDescent="0.25">
      <c r="A42" s="1343"/>
      <c r="B42" s="1344"/>
      <c r="C42" s="1281"/>
      <c r="D42" s="1281"/>
      <c r="E42" s="1281"/>
      <c r="F42" s="1281"/>
      <c r="G42" s="1281"/>
      <c r="H42" s="1281"/>
      <c r="I42" s="1281"/>
      <c r="J42" s="1281"/>
      <c r="K42" s="1281"/>
      <c r="L42" s="1281"/>
      <c r="M42" s="1281"/>
      <c r="N42" s="1281"/>
      <c r="O42" s="1348"/>
      <c r="P42" s="1348"/>
      <c r="R42" s="476"/>
      <c r="S42" s="476"/>
      <c r="T42" s="476"/>
      <c r="U42" s="476"/>
      <c r="V42" s="476"/>
      <c r="W42" s="476"/>
      <c r="X42" s="476"/>
      <c r="Y42" s="476"/>
      <c r="Z42" s="476"/>
      <c r="AA42" s="476"/>
      <c r="AB42" s="476"/>
      <c r="AC42" s="476"/>
      <c r="AD42" s="476"/>
      <c r="AE42" s="476"/>
      <c r="AF42" s="476"/>
      <c r="AG42" s="476"/>
      <c r="AH42" s="476"/>
      <c r="AI42" s="476"/>
      <c r="AJ42" s="476"/>
      <c r="AK42" s="476"/>
      <c r="AL42" s="476"/>
      <c r="AM42" s="476"/>
      <c r="AN42" s="476"/>
      <c r="AO42" s="476"/>
      <c r="AP42" s="476"/>
      <c r="AQ42" s="476"/>
      <c r="AR42" s="476"/>
      <c r="AS42" s="476"/>
      <c r="AT42" s="476"/>
      <c r="AU42" s="476"/>
      <c r="AV42" s="476"/>
      <c r="AW42" s="476"/>
      <c r="AX42" s="476"/>
      <c r="AY42" s="476"/>
      <c r="AZ42" s="476"/>
      <c r="BA42" s="476"/>
      <c r="BB42" s="476"/>
      <c r="BC42" s="476"/>
      <c r="BD42" s="476"/>
      <c r="BE42" s="476"/>
      <c r="BF42" s="476"/>
      <c r="BG42" s="476"/>
      <c r="BH42" s="476"/>
      <c r="BI42" s="476"/>
      <c r="BJ42" s="476"/>
      <c r="BK42" s="476"/>
      <c r="BL42" s="476"/>
      <c r="BM42" s="476"/>
      <c r="BR42" s="125"/>
    </row>
    <row r="43" spans="1:70" ht="15.75" customHeight="1" x14ac:dyDescent="0.25">
      <c r="A43" s="1345"/>
      <c r="B43" s="1346"/>
      <c r="C43" s="1347" t="s">
        <v>594</v>
      </c>
      <c r="D43" s="1281"/>
      <c r="E43" s="1281"/>
      <c r="F43" s="1281"/>
      <c r="G43" s="1281"/>
      <c r="H43" s="1281"/>
      <c r="I43" s="1281"/>
      <c r="J43" s="1281"/>
      <c r="K43" s="1281"/>
      <c r="L43" s="1281"/>
      <c r="M43" s="1348"/>
      <c r="N43" s="1348"/>
      <c r="O43" s="1348"/>
      <c r="P43" s="1348"/>
      <c r="R43" s="726"/>
      <c r="S43" s="726"/>
      <c r="T43" s="726"/>
      <c r="U43" s="726"/>
      <c r="V43" s="726"/>
      <c r="W43" s="726"/>
      <c r="X43" s="726"/>
      <c r="Y43" s="726"/>
      <c r="Z43" s="726"/>
      <c r="AA43" s="726"/>
      <c r="AB43" s="726"/>
      <c r="AC43" s="726"/>
      <c r="AD43" s="726"/>
      <c r="AE43" s="726"/>
      <c r="AF43" s="726"/>
      <c r="AG43" s="726"/>
      <c r="AH43" s="726"/>
      <c r="AI43" s="726"/>
      <c r="AJ43" s="726"/>
      <c r="AK43" s="726"/>
      <c r="AL43" s="726"/>
      <c r="AM43" s="726"/>
      <c r="AN43" s="726"/>
      <c r="AO43" s="726"/>
      <c r="AP43" s="726"/>
      <c r="AQ43" s="726"/>
      <c r="AR43" s="726"/>
      <c r="AS43" s="726"/>
      <c r="AT43" s="726"/>
      <c r="AU43" s="726"/>
      <c r="AV43" s="726"/>
      <c r="AW43" s="726"/>
      <c r="AX43" s="726"/>
      <c r="AY43" s="726"/>
      <c r="AZ43" s="726"/>
      <c r="BA43" s="726"/>
      <c r="BB43" s="726"/>
      <c r="BC43" s="726"/>
      <c r="BD43" s="726"/>
      <c r="BE43" s="726"/>
      <c r="BF43" s="726"/>
      <c r="BG43" s="726"/>
      <c r="BH43" s="726"/>
      <c r="BI43" s="726"/>
      <c r="BJ43" s="726"/>
      <c r="BK43" s="726"/>
      <c r="BL43" s="726"/>
      <c r="BM43" s="726"/>
      <c r="BR43" s="125"/>
    </row>
    <row r="44" spans="1:70" ht="24.75" customHeight="1" x14ac:dyDescent="0.25">
      <c r="R44" s="357"/>
      <c r="S44" s="357"/>
      <c r="T44" s="357"/>
      <c r="U44" s="357"/>
      <c r="V44" s="357"/>
      <c r="W44" s="357"/>
      <c r="X44" s="357"/>
      <c r="Y44" s="357"/>
      <c r="Z44" s="357"/>
      <c r="AA44" s="357"/>
      <c r="AB44" s="357"/>
      <c r="AC44" s="357"/>
      <c r="AD44" s="357"/>
      <c r="AE44" s="357"/>
      <c r="AF44" s="357"/>
      <c r="AG44" s="357"/>
      <c r="AH44" s="357"/>
      <c r="AI44" s="357"/>
      <c r="AJ44" s="357"/>
      <c r="AK44" s="357"/>
      <c r="AL44" s="357"/>
      <c r="AM44" s="357"/>
      <c r="AN44" s="357"/>
      <c r="AO44" s="357"/>
      <c r="AP44" s="357"/>
      <c r="AQ44" s="357"/>
      <c r="AR44" s="357"/>
      <c r="AS44" s="357"/>
      <c r="AT44" s="357"/>
      <c r="AU44" s="357"/>
      <c r="AV44" s="357"/>
      <c r="AW44" s="357"/>
      <c r="AX44" s="357"/>
      <c r="AY44" s="357"/>
      <c r="AZ44" s="357"/>
      <c r="BA44" s="357"/>
      <c r="BB44" s="357"/>
      <c r="BC44" s="357"/>
      <c r="BD44" s="357"/>
      <c r="BE44" s="357"/>
      <c r="BF44" s="357"/>
      <c r="BG44" s="357"/>
      <c r="BH44" s="357"/>
      <c r="BI44" s="357"/>
      <c r="BJ44" s="357"/>
      <c r="BK44" s="357"/>
      <c r="BL44" s="357"/>
      <c r="BM44" s="357"/>
      <c r="BR44" s="125"/>
    </row>
    <row r="45" spans="1:70" ht="24.75" customHeight="1" x14ac:dyDescent="0.25">
      <c r="BR45" s="125"/>
    </row>
    <row r="46" spans="1:70" ht="24.75" customHeight="1" x14ac:dyDescent="0.25">
      <c r="Q46" s="124"/>
      <c r="BR46" s="125"/>
    </row>
    <row r="47" spans="1:70" ht="24" customHeight="1" x14ac:dyDescent="0.25">
      <c r="O47" s="122"/>
      <c r="Q47" s="124"/>
    </row>
    <row r="48" spans="1:70" ht="10.5" customHeight="1" x14ac:dyDescent="0.25">
      <c r="O48" s="122"/>
      <c r="Q48" s="124"/>
      <c r="T48" s="147"/>
      <c r="U48" s="147"/>
    </row>
    <row r="49" spans="17:67" ht="32.25" customHeight="1" x14ac:dyDescent="0.25">
      <c r="Q49" s="124"/>
      <c r="T49" s="214"/>
      <c r="U49" s="214"/>
      <c r="V49" s="214"/>
      <c r="W49" s="214"/>
      <c r="X49" s="214"/>
      <c r="Y49" s="214"/>
      <c r="Z49" s="214"/>
      <c r="AA49" s="214"/>
      <c r="AB49" s="214"/>
      <c r="AC49" s="214"/>
      <c r="AD49" s="214"/>
      <c r="AE49" s="214"/>
      <c r="AF49" s="214"/>
      <c r="AG49" s="214"/>
      <c r="AH49" s="214"/>
      <c r="AI49" s="214"/>
      <c r="AJ49" s="214"/>
      <c r="AK49" s="214"/>
      <c r="AL49" s="214"/>
      <c r="AM49" s="214"/>
      <c r="AN49" s="214"/>
      <c r="AO49" s="214"/>
      <c r="AP49" s="214"/>
      <c r="AQ49" s="214"/>
      <c r="AR49" s="214"/>
      <c r="AS49" s="214"/>
      <c r="AT49" s="214"/>
      <c r="AU49" s="214"/>
      <c r="AV49" s="214"/>
      <c r="AW49" s="214"/>
      <c r="AX49" s="214"/>
      <c r="AY49" s="214"/>
      <c r="AZ49" s="214"/>
      <c r="BA49" s="214"/>
      <c r="BB49" s="214"/>
      <c r="BC49" s="214"/>
      <c r="BD49" s="214"/>
      <c r="BE49" s="214"/>
      <c r="BF49" s="214"/>
      <c r="BG49" s="214"/>
      <c r="BH49" s="214"/>
      <c r="BI49" s="214"/>
      <c r="BJ49" s="214"/>
      <c r="BK49" s="214"/>
      <c r="BL49" s="214"/>
      <c r="BM49" s="214"/>
      <c r="BN49" s="214"/>
      <c r="BO49" s="214"/>
    </row>
    <row r="50" spans="17:67" ht="32.25" customHeight="1" x14ac:dyDescent="0.25">
      <c r="R50" s="124"/>
      <c r="S50" s="124"/>
      <c r="T50" s="214"/>
      <c r="U50" s="214"/>
      <c r="V50" s="214"/>
      <c r="W50" s="214"/>
      <c r="X50" s="214"/>
      <c r="Y50" s="214"/>
      <c r="Z50" s="214"/>
      <c r="AA50" s="214"/>
      <c r="AB50" s="214"/>
      <c r="AC50" s="214"/>
      <c r="AD50" s="214"/>
      <c r="AE50" s="214"/>
      <c r="AF50" s="214"/>
      <c r="AG50" s="214"/>
      <c r="AH50" s="214"/>
      <c r="AI50" s="214"/>
      <c r="AJ50" s="214"/>
      <c r="AK50" s="214"/>
      <c r="AL50" s="214"/>
      <c r="AM50" s="214"/>
      <c r="AN50" s="214"/>
      <c r="AO50" s="214"/>
      <c r="AP50" s="214"/>
      <c r="AQ50" s="214"/>
      <c r="AR50" s="214"/>
      <c r="AS50" s="214"/>
      <c r="AT50" s="214"/>
      <c r="AU50" s="214"/>
      <c r="AV50" s="214"/>
      <c r="AW50" s="214"/>
      <c r="AX50" s="214"/>
      <c r="AY50" s="214"/>
      <c r="AZ50" s="214"/>
      <c r="BA50" s="214"/>
      <c r="BB50" s="214"/>
      <c r="BC50" s="214"/>
      <c r="BD50" s="214"/>
      <c r="BE50" s="214"/>
      <c r="BF50" s="214"/>
      <c r="BG50" s="214"/>
      <c r="BH50" s="214"/>
      <c r="BI50" s="214"/>
      <c r="BJ50" s="214"/>
      <c r="BK50" s="214"/>
      <c r="BL50" s="214"/>
      <c r="BM50" s="214"/>
      <c r="BN50" s="214"/>
      <c r="BO50" s="214"/>
    </row>
    <row r="51" spans="17:67" ht="15.75" x14ac:dyDescent="0.25">
      <c r="R51" s="124"/>
      <c r="S51" s="124"/>
    </row>
    <row r="52" spans="17:67" ht="19.5" customHeight="1" x14ac:dyDescent="0.25">
      <c r="R52" s="124"/>
      <c r="S52" s="124"/>
      <c r="T52" s="665"/>
      <c r="U52" s="665"/>
      <c r="V52" s="124"/>
      <c r="W52" s="1382"/>
      <c r="X52" s="1336"/>
      <c r="Y52" s="240"/>
      <c r="Z52" s="240"/>
      <c r="AA52" s="240"/>
      <c r="AB52" s="240"/>
      <c r="AC52" s="240"/>
      <c r="AD52" s="240"/>
      <c r="AE52" s="240"/>
      <c r="AF52" s="240"/>
      <c r="AG52" s="240"/>
      <c r="AH52" s="240"/>
      <c r="AI52" s="240"/>
      <c r="AJ52" s="240"/>
      <c r="AK52" s="240"/>
      <c r="AL52" s="240"/>
      <c r="AM52" s="240"/>
      <c r="AN52" s="240"/>
      <c r="AO52" s="240"/>
      <c r="AP52" s="240"/>
      <c r="AQ52" s="240"/>
      <c r="AR52" s="240"/>
      <c r="AS52" s="240"/>
      <c r="AT52" s="240"/>
      <c r="AU52" s="240"/>
      <c r="AV52" s="240"/>
      <c r="AW52" s="240"/>
      <c r="AX52" s="240"/>
      <c r="AY52" s="240"/>
      <c r="AZ52" s="240"/>
      <c r="BA52" s="240"/>
      <c r="BB52" s="240"/>
      <c r="BC52" s="240"/>
      <c r="BD52" s="240"/>
      <c r="BE52" s="240"/>
      <c r="BF52" s="240"/>
      <c r="BG52" s="240"/>
      <c r="BH52" s="240"/>
      <c r="BI52" s="240"/>
      <c r="BJ52" s="240"/>
      <c r="BK52" s="240"/>
      <c r="BL52" s="240"/>
      <c r="BM52" s="240"/>
      <c r="BN52" s="240"/>
    </row>
    <row r="53" spans="17:67" ht="15.75" x14ac:dyDescent="0.25">
      <c r="R53" s="124"/>
      <c r="S53" s="124"/>
      <c r="T53" s="665"/>
      <c r="U53" s="665"/>
      <c r="V53" s="124"/>
      <c r="W53" s="519"/>
      <c r="X53" s="519"/>
      <c r="Y53" s="701"/>
      <c r="Z53" s="701"/>
      <c r="AA53" s="701"/>
      <c r="AB53" s="701"/>
      <c r="AC53" s="701"/>
      <c r="AD53" s="701"/>
      <c r="AE53" s="701"/>
      <c r="AF53" s="701"/>
      <c r="AG53" s="701"/>
      <c r="AH53" s="701"/>
      <c r="AI53" s="701"/>
      <c r="AJ53" s="701"/>
      <c r="AK53" s="701"/>
      <c r="AL53" s="701"/>
      <c r="AM53" s="701"/>
      <c r="AN53" s="701"/>
      <c r="AO53" s="701"/>
      <c r="AP53" s="701"/>
      <c r="AQ53" s="701"/>
      <c r="AR53" s="701"/>
      <c r="AS53" s="701"/>
      <c r="AT53" s="701"/>
      <c r="AU53" s="701"/>
      <c r="AV53" s="701"/>
      <c r="AW53" s="701"/>
      <c r="AX53" s="701"/>
      <c r="AY53" s="701"/>
      <c r="AZ53" s="701"/>
      <c r="BA53" s="701"/>
      <c r="BB53" s="701"/>
      <c r="BC53" s="701"/>
      <c r="BD53" s="701"/>
      <c r="BE53" s="701"/>
      <c r="BF53" s="701"/>
      <c r="BG53" s="701"/>
      <c r="BH53" s="701"/>
      <c r="BI53" s="701"/>
      <c r="BJ53" s="701"/>
      <c r="BK53" s="701"/>
      <c r="BL53" s="701"/>
      <c r="BM53" s="701"/>
      <c r="BN53" s="701"/>
    </row>
    <row r="54" spans="17:67" ht="15.75" x14ac:dyDescent="0.25">
      <c r="T54" s="166"/>
      <c r="U54" s="166"/>
      <c r="V54" s="124"/>
      <c r="W54" s="123"/>
      <c r="X54" s="123"/>
      <c r="Y54" s="129"/>
      <c r="Z54" s="129"/>
      <c r="AA54" s="129"/>
      <c r="AB54" s="129"/>
      <c r="AC54" s="129"/>
      <c r="AD54" s="129"/>
      <c r="AE54" s="129"/>
      <c r="AF54" s="129"/>
      <c r="AG54" s="129"/>
      <c r="AH54" s="129"/>
      <c r="AI54" s="129"/>
      <c r="AJ54" s="129"/>
      <c r="AK54" s="129"/>
      <c r="AL54" s="129"/>
      <c r="AM54" s="129"/>
      <c r="AN54" s="129"/>
      <c r="AO54" s="129"/>
      <c r="AP54" s="129"/>
      <c r="AQ54" s="129"/>
      <c r="AR54" s="129"/>
      <c r="AS54" s="129"/>
      <c r="AT54" s="129"/>
      <c r="AU54" s="129"/>
      <c r="AV54" s="129"/>
      <c r="AW54" s="129"/>
      <c r="AX54" s="129"/>
      <c r="AY54" s="129"/>
      <c r="AZ54" s="129"/>
      <c r="BA54" s="129"/>
      <c r="BB54" s="129"/>
      <c r="BC54" s="129"/>
      <c r="BD54" s="129"/>
      <c r="BE54" s="129"/>
      <c r="BF54" s="129"/>
      <c r="BG54" s="129"/>
      <c r="BH54" s="129"/>
      <c r="BI54" s="129"/>
      <c r="BJ54" s="129"/>
      <c r="BK54" s="129"/>
      <c r="BL54" s="129"/>
      <c r="BM54" s="129"/>
      <c r="BN54" s="129"/>
    </row>
    <row r="55" spans="17:67" ht="15.75" x14ac:dyDescent="0.25">
      <c r="T55" s="166"/>
      <c r="U55" s="166"/>
      <c r="V55" s="124"/>
      <c r="W55" s="123"/>
      <c r="X55" s="123"/>
      <c r="Y55" s="129"/>
      <c r="Z55" s="129"/>
      <c r="AA55" s="129"/>
      <c r="AB55" s="129"/>
      <c r="AC55" s="129"/>
      <c r="AD55" s="129"/>
      <c r="AE55" s="129"/>
      <c r="AF55" s="129"/>
      <c r="AG55" s="129"/>
      <c r="AH55" s="129"/>
      <c r="AI55" s="129"/>
      <c r="AJ55" s="129"/>
      <c r="AK55" s="129"/>
      <c r="AL55" s="129"/>
      <c r="AM55" s="129"/>
      <c r="AN55" s="129"/>
      <c r="AO55" s="129"/>
      <c r="AP55" s="129"/>
      <c r="AQ55" s="129"/>
      <c r="AR55" s="129"/>
      <c r="AS55" s="129"/>
      <c r="AT55" s="129"/>
      <c r="AU55" s="129"/>
      <c r="AV55" s="129"/>
      <c r="AW55" s="129"/>
      <c r="AX55" s="129"/>
      <c r="AY55" s="129"/>
      <c r="AZ55" s="129"/>
      <c r="BA55" s="129"/>
      <c r="BB55" s="129"/>
      <c r="BC55" s="129"/>
      <c r="BD55" s="129"/>
      <c r="BE55" s="129"/>
      <c r="BF55" s="129"/>
      <c r="BG55" s="129"/>
      <c r="BH55" s="129"/>
      <c r="BI55" s="129"/>
      <c r="BJ55" s="129"/>
      <c r="BK55" s="129"/>
      <c r="BL55" s="129"/>
      <c r="BM55" s="129"/>
      <c r="BN55" s="129"/>
    </row>
    <row r="56" spans="17:67" ht="15.75" x14ac:dyDescent="0.25">
      <c r="T56" s="166"/>
      <c r="U56" s="166"/>
      <c r="V56" s="124"/>
      <c r="W56" s="123"/>
      <c r="X56" s="123"/>
      <c r="Y56" s="129"/>
      <c r="Z56" s="129"/>
      <c r="AA56" s="129"/>
      <c r="AB56" s="129"/>
      <c r="AC56" s="129"/>
      <c r="AD56" s="129"/>
      <c r="AE56" s="129"/>
      <c r="AF56" s="129"/>
      <c r="AG56" s="129"/>
      <c r="AH56" s="129"/>
      <c r="AI56" s="129"/>
      <c r="AJ56" s="129"/>
      <c r="AK56" s="129"/>
      <c r="AL56" s="129"/>
      <c r="AM56" s="129"/>
      <c r="AN56" s="129"/>
      <c r="AO56" s="129"/>
      <c r="AP56" s="129"/>
      <c r="AQ56" s="129"/>
      <c r="AR56" s="129"/>
      <c r="AS56" s="129"/>
      <c r="AT56" s="129"/>
      <c r="AU56" s="129"/>
      <c r="AV56" s="129"/>
      <c r="AW56" s="129"/>
      <c r="AX56" s="129"/>
      <c r="AY56" s="129"/>
      <c r="AZ56" s="129"/>
      <c r="BA56" s="129"/>
      <c r="BB56" s="129"/>
      <c r="BC56" s="129"/>
      <c r="BD56" s="129"/>
      <c r="BE56" s="129"/>
      <c r="BF56" s="129"/>
      <c r="BG56" s="129"/>
      <c r="BH56" s="129"/>
      <c r="BI56" s="129"/>
      <c r="BJ56" s="129"/>
      <c r="BK56" s="129"/>
      <c r="BL56" s="129"/>
      <c r="BM56" s="129"/>
      <c r="BN56" s="129"/>
    </row>
    <row r="57" spans="17:67" ht="15.75" x14ac:dyDescent="0.25">
      <c r="T57" s="166"/>
      <c r="U57" s="166"/>
      <c r="V57" s="124"/>
      <c r="W57" s="123"/>
      <c r="X57" s="123"/>
      <c r="Y57" s="129"/>
      <c r="Z57" s="129"/>
      <c r="AA57" s="129"/>
      <c r="AB57" s="129"/>
      <c r="AC57" s="129"/>
      <c r="AD57" s="129"/>
      <c r="AE57" s="129"/>
      <c r="AF57" s="129"/>
      <c r="AG57" s="129"/>
      <c r="AH57" s="129"/>
      <c r="AI57" s="129"/>
      <c r="AJ57" s="129"/>
      <c r="AK57" s="129"/>
      <c r="AL57" s="129"/>
      <c r="AM57" s="129"/>
      <c r="AN57" s="129"/>
      <c r="AO57" s="129"/>
      <c r="AP57" s="129"/>
      <c r="AQ57" s="129"/>
      <c r="AR57" s="129"/>
      <c r="AS57" s="129"/>
      <c r="AT57" s="129"/>
      <c r="AU57" s="129"/>
      <c r="AV57" s="129"/>
      <c r="AW57" s="129"/>
      <c r="AX57" s="129"/>
      <c r="AY57" s="129"/>
      <c r="AZ57" s="129"/>
      <c r="BA57" s="129"/>
      <c r="BB57" s="129"/>
      <c r="BC57" s="129"/>
      <c r="BD57" s="129"/>
      <c r="BE57" s="129"/>
      <c r="BF57" s="129"/>
      <c r="BG57" s="129"/>
      <c r="BH57" s="129"/>
      <c r="BI57" s="129"/>
      <c r="BJ57" s="129"/>
      <c r="BK57" s="129"/>
      <c r="BL57" s="129"/>
      <c r="BM57" s="129"/>
      <c r="BN57" s="129"/>
    </row>
    <row r="58" spans="17:67" ht="15.75" x14ac:dyDescent="0.25">
      <c r="T58" s="166"/>
      <c r="U58" s="166"/>
      <c r="V58" s="124"/>
      <c r="W58" s="123"/>
      <c r="X58" s="123"/>
      <c r="Y58" s="129"/>
      <c r="Z58" s="129"/>
      <c r="AA58" s="129"/>
      <c r="AB58" s="129"/>
      <c r="AC58" s="129"/>
      <c r="AD58" s="129"/>
      <c r="AE58" s="129"/>
      <c r="AF58" s="129"/>
      <c r="AG58" s="129"/>
      <c r="AH58" s="129"/>
      <c r="AI58" s="129"/>
      <c r="AJ58" s="129"/>
      <c r="AK58" s="129"/>
      <c r="AL58" s="129"/>
      <c r="AM58" s="129"/>
      <c r="AN58" s="129"/>
      <c r="AO58" s="129"/>
      <c r="AP58" s="129"/>
      <c r="AQ58" s="129"/>
      <c r="AR58" s="129"/>
      <c r="AS58" s="129"/>
      <c r="AT58" s="129"/>
      <c r="AU58" s="129"/>
      <c r="AV58" s="129"/>
      <c r="AW58" s="129"/>
      <c r="AX58" s="129"/>
      <c r="AY58" s="129"/>
      <c r="AZ58" s="129"/>
      <c r="BA58" s="129"/>
      <c r="BB58" s="129"/>
      <c r="BC58" s="129"/>
      <c r="BD58" s="129"/>
      <c r="BE58" s="129"/>
      <c r="BF58" s="129"/>
      <c r="BG58" s="129"/>
      <c r="BH58" s="129"/>
      <c r="BI58" s="129"/>
      <c r="BJ58" s="129"/>
      <c r="BK58" s="129"/>
      <c r="BL58" s="129"/>
      <c r="BM58" s="129"/>
      <c r="BN58" s="129"/>
    </row>
    <row r="59" spans="17:67" ht="15.75" x14ac:dyDescent="0.25">
      <c r="T59" s="166"/>
      <c r="U59" s="166"/>
      <c r="V59" s="124"/>
      <c r="W59" s="123"/>
      <c r="X59" s="123"/>
      <c r="Y59" s="129"/>
      <c r="Z59" s="129"/>
      <c r="AA59" s="129"/>
      <c r="AB59" s="129"/>
      <c r="AC59" s="129"/>
      <c r="AD59" s="129"/>
      <c r="AE59" s="129"/>
      <c r="AF59" s="129"/>
      <c r="AG59" s="129"/>
      <c r="AH59" s="129"/>
      <c r="AI59" s="129"/>
      <c r="AJ59" s="129"/>
      <c r="AK59" s="129"/>
      <c r="AL59" s="129"/>
      <c r="AM59" s="129"/>
      <c r="AN59" s="129"/>
      <c r="AO59" s="129"/>
      <c r="AP59" s="129"/>
      <c r="AQ59" s="129"/>
      <c r="AR59" s="129"/>
      <c r="AS59" s="129"/>
      <c r="AT59" s="129"/>
      <c r="AU59" s="129"/>
      <c r="AV59" s="129"/>
      <c r="AW59" s="129"/>
      <c r="AX59" s="129"/>
      <c r="AY59" s="129"/>
      <c r="AZ59" s="129"/>
      <c r="BA59" s="129"/>
      <c r="BB59" s="129"/>
      <c r="BC59" s="129"/>
      <c r="BD59" s="129"/>
      <c r="BE59" s="129"/>
      <c r="BF59" s="129"/>
      <c r="BG59" s="129"/>
      <c r="BH59" s="129"/>
      <c r="BI59" s="129"/>
      <c r="BJ59" s="129"/>
      <c r="BK59" s="129"/>
      <c r="BL59" s="129"/>
      <c r="BM59" s="129"/>
      <c r="BN59" s="129"/>
    </row>
    <row r="60" spans="17:67" ht="15.75" x14ac:dyDescent="0.25">
      <c r="T60" s="166"/>
      <c r="U60" s="166"/>
      <c r="V60" s="124"/>
      <c r="W60" s="123"/>
      <c r="X60" s="123"/>
      <c r="Y60" s="129"/>
      <c r="Z60" s="129"/>
      <c r="AA60" s="129"/>
      <c r="AB60" s="129"/>
      <c r="AC60" s="129"/>
      <c r="AD60" s="129"/>
      <c r="AE60" s="129"/>
      <c r="AF60" s="129"/>
      <c r="AG60" s="129"/>
      <c r="AH60" s="129"/>
      <c r="AI60" s="129"/>
      <c r="AJ60" s="129"/>
      <c r="AK60" s="129"/>
      <c r="AL60" s="129"/>
      <c r="AM60" s="129"/>
      <c r="AN60" s="129"/>
      <c r="AO60" s="129"/>
      <c r="AP60" s="129"/>
      <c r="AQ60" s="129"/>
      <c r="AR60" s="129"/>
      <c r="AS60" s="129"/>
      <c r="AT60" s="129"/>
      <c r="AU60" s="129"/>
      <c r="AV60" s="129"/>
      <c r="AW60" s="129"/>
      <c r="AX60" s="129"/>
      <c r="AY60" s="129"/>
      <c r="AZ60" s="129"/>
      <c r="BA60" s="129"/>
      <c r="BB60" s="129"/>
      <c r="BC60" s="129"/>
      <c r="BD60" s="129"/>
      <c r="BE60" s="129"/>
      <c r="BF60" s="129"/>
      <c r="BG60" s="129"/>
      <c r="BH60" s="129"/>
      <c r="BI60" s="129"/>
      <c r="BJ60" s="129"/>
      <c r="BK60" s="129"/>
      <c r="BL60" s="129"/>
      <c r="BM60" s="129"/>
      <c r="BN60" s="129"/>
    </row>
    <row r="61" spans="17:67" ht="15.75" x14ac:dyDescent="0.25">
      <c r="T61" s="166"/>
      <c r="U61" s="166"/>
      <c r="V61" s="124"/>
      <c r="W61" s="123"/>
      <c r="X61" s="123"/>
      <c r="Y61" s="129"/>
      <c r="Z61" s="129"/>
      <c r="AA61" s="129"/>
      <c r="AB61" s="129"/>
      <c r="AC61" s="129"/>
      <c r="AD61" s="129"/>
      <c r="AE61" s="129"/>
      <c r="AF61" s="129"/>
      <c r="AG61" s="129"/>
      <c r="AH61" s="129"/>
      <c r="AI61" s="129"/>
      <c r="AJ61" s="129"/>
      <c r="AK61" s="129"/>
      <c r="AL61" s="129"/>
      <c r="AM61" s="129"/>
      <c r="AN61" s="129"/>
      <c r="AO61" s="129"/>
      <c r="AP61" s="129"/>
      <c r="AQ61" s="129"/>
      <c r="AR61" s="129"/>
      <c r="AS61" s="129"/>
      <c r="AT61" s="129"/>
      <c r="AU61" s="129"/>
      <c r="AV61" s="129"/>
      <c r="AW61" s="129"/>
      <c r="AX61" s="129"/>
      <c r="AY61" s="129"/>
      <c r="AZ61" s="129"/>
      <c r="BA61" s="129"/>
      <c r="BB61" s="129"/>
      <c r="BC61" s="129"/>
      <c r="BD61" s="129"/>
      <c r="BE61" s="129"/>
      <c r="BF61" s="129"/>
      <c r="BG61" s="129"/>
      <c r="BH61" s="129"/>
      <c r="BI61" s="129"/>
      <c r="BJ61" s="129"/>
      <c r="BK61" s="129"/>
      <c r="BL61" s="129"/>
      <c r="BM61" s="129"/>
      <c r="BN61" s="129"/>
    </row>
    <row r="62" spans="17:67" ht="15.75" x14ac:dyDescent="0.25">
      <c r="T62" s="166"/>
      <c r="U62" s="166"/>
      <c r="V62" s="124"/>
      <c r="W62" s="123"/>
      <c r="X62" s="123"/>
      <c r="Y62" s="129"/>
      <c r="Z62" s="129"/>
      <c r="AA62" s="129"/>
      <c r="AB62" s="129"/>
      <c r="AC62" s="129"/>
      <c r="AD62" s="129"/>
      <c r="AE62" s="129"/>
      <c r="AF62" s="129"/>
      <c r="AG62" s="129"/>
      <c r="AH62" s="129"/>
      <c r="AI62" s="129"/>
      <c r="AJ62" s="129"/>
      <c r="AK62" s="129"/>
      <c r="AL62" s="129"/>
      <c r="AM62" s="129"/>
      <c r="AN62" s="129"/>
      <c r="AO62" s="129"/>
      <c r="AP62" s="129"/>
      <c r="AQ62" s="129"/>
      <c r="AR62" s="129"/>
      <c r="AS62" s="129"/>
      <c r="AT62" s="129"/>
      <c r="AU62" s="129"/>
      <c r="AV62" s="129"/>
      <c r="AW62" s="129"/>
      <c r="AX62" s="129"/>
      <c r="AY62" s="129"/>
      <c r="AZ62" s="129"/>
      <c r="BA62" s="129"/>
      <c r="BB62" s="129"/>
      <c r="BC62" s="129"/>
      <c r="BD62" s="129"/>
      <c r="BE62" s="129"/>
      <c r="BF62" s="129"/>
      <c r="BG62" s="129"/>
      <c r="BH62" s="129"/>
      <c r="BI62" s="129"/>
      <c r="BJ62" s="129"/>
      <c r="BK62" s="129"/>
      <c r="BL62" s="129"/>
      <c r="BM62" s="129"/>
      <c r="BN62" s="129"/>
    </row>
    <row r="63" spans="17:67" ht="15.75" x14ac:dyDescent="0.25">
      <c r="T63" s="166"/>
      <c r="U63" s="166"/>
      <c r="V63" s="124"/>
      <c r="W63" s="123"/>
      <c r="X63" s="123"/>
      <c r="Y63" s="129"/>
      <c r="Z63" s="129"/>
      <c r="AA63" s="129"/>
      <c r="AB63" s="129"/>
      <c r="AC63" s="129"/>
      <c r="AD63" s="129"/>
      <c r="AE63" s="129"/>
      <c r="AF63" s="129"/>
      <c r="AG63" s="129"/>
      <c r="AH63" s="129"/>
      <c r="AI63" s="129"/>
      <c r="AJ63" s="129"/>
      <c r="AK63" s="129"/>
      <c r="AL63" s="129"/>
      <c r="AM63" s="129"/>
      <c r="AN63" s="129"/>
      <c r="AO63" s="129"/>
      <c r="AP63" s="129"/>
      <c r="AQ63" s="129"/>
      <c r="AR63" s="129"/>
      <c r="AS63" s="129"/>
      <c r="AT63" s="129"/>
      <c r="AU63" s="129"/>
      <c r="AV63" s="129"/>
      <c r="AW63" s="129"/>
      <c r="AX63" s="129"/>
      <c r="AY63" s="129"/>
      <c r="AZ63" s="129"/>
      <c r="BA63" s="129"/>
      <c r="BB63" s="129"/>
      <c r="BC63" s="129"/>
      <c r="BD63" s="129"/>
      <c r="BE63" s="129"/>
      <c r="BF63" s="129"/>
      <c r="BG63" s="129"/>
      <c r="BH63" s="129"/>
      <c r="BI63" s="129"/>
      <c r="BJ63" s="129"/>
      <c r="BK63" s="129"/>
      <c r="BL63" s="129"/>
      <c r="BM63" s="129"/>
      <c r="BN63" s="129"/>
    </row>
    <row r="64" spans="17:67" ht="15.75" x14ac:dyDescent="0.25">
      <c r="T64" s="166"/>
      <c r="U64" s="166"/>
      <c r="V64" s="124"/>
      <c r="W64" s="123"/>
      <c r="X64" s="123"/>
      <c r="Y64" s="129"/>
      <c r="Z64" s="129"/>
      <c r="AA64" s="129"/>
      <c r="AB64" s="129"/>
      <c r="AC64" s="129"/>
      <c r="AD64" s="129"/>
      <c r="AE64" s="129"/>
      <c r="AF64" s="129"/>
      <c r="AG64" s="129"/>
      <c r="AH64" s="129"/>
      <c r="AI64" s="129"/>
      <c r="AJ64" s="129"/>
      <c r="AK64" s="129"/>
      <c r="AL64" s="129"/>
      <c r="AM64" s="129"/>
      <c r="AN64" s="129"/>
      <c r="AO64" s="129"/>
      <c r="AP64" s="129"/>
      <c r="AQ64" s="129"/>
      <c r="AR64" s="129"/>
      <c r="AS64" s="129"/>
      <c r="AT64" s="129"/>
      <c r="AU64" s="129"/>
      <c r="AV64" s="129"/>
      <c r="AW64" s="129"/>
      <c r="AX64" s="129"/>
      <c r="AY64" s="129"/>
      <c r="AZ64" s="129"/>
      <c r="BA64" s="129"/>
      <c r="BB64" s="129"/>
      <c r="BC64" s="129"/>
      <c r="BD64" s="129"/>
      <c r="BE64" s="129"/>
      <c r="BF64" s="129"/>
      <c r="BG64" s="129"/>
      <c r="BH64" s="129"/>
      <c r="BI64" s="129"/>
      <c r="BJ64" s="129"/>
      <c r="BK64" s="129"/>
      <c r="BL64" s="129"/>
      <c r="BM64" s="129"/>
      <c r="BN64" s="129"/>
    </row>
    <row r="65" spans="20:66" ht="15.75" x14ac:dyDescent="0.25">
      <c r="T65" s="166"/>
      <c r="U65" s="166"/>
      <c r="V65" s="124"/>
      <c r="W65" s="123"/>
      <c r="X65" s="123"/>
      <c r="Y65" s="129"/>
      <c r="Z65" s="129"/>
      <c r="AA65" s="129"/>
      <c r="AB65" s="129"/>
      <c r="AC65" s="129"/>
      <c r="AD65" s="129"/>
      <c r="AE65" s="129"/>
      <c r="AF65" s="129"/>
      <c r="AG65" s="129"/>
      <c r="AH65" s="129"/>
      <c r="AI65" s="129"/>
      <c r="AJ65" s="129"/>
      <c r="AK65" s="129"/>
      <c r="AL65" s="129"/>
      <c r="AM65" s="129"/>
      <c r="AN65" s="129"/>
      <c r="AO65" s="129"/>
      <c r="AP65" s="129"/>
      <c r="AQ65" s="129"/>
      <c r="AR65" s="129"/>
      <c r="AS65" s="129"/>
      <c r="AT65" s="129"/>
      <c r="AU65" s="129"/>
      <c r="AV65" s="129"/>
      <c r="AW65" s="129"/>
      <c r="AX65" s="129"/>
      <c r="AY65" s="129"/>
      <c r="AZ65" s="129"/>
      <c r="BA65" s="129"/>
      <c r="BB65" s="129"/>
      <c r="BC65" s="129"/>
      <c r="BD65" s="129"/>
      <c r="BE65" s="129"/>
      <c r="BF65" s="129"/>
      <c r="BG65" s="129"/>
      <c r="BH65" s="129"/>
      <c r="BI65" s="129"/>
      <c r="BJ65" s="129"/>
      <c r="BK65" s="129"/>
      <c r="BL65" s="129"/>
      <c r="BM65" s="129"/>
      <c r="BN65" s="129"/>
    </row>
    <row r="66" spans="20:66" ht="15.75" x14ac:dyDescent="0.25">
      <c r="T66" s="166"/>
      <c r="U66" s="166"/>
      <c r="V66" s="124"/>
      <c r="W66" s="123"/>
      <c r="X66" s="123"/>
      <c r="Y66" s="129"/>
      <c r="Z66" s="129"/>
      <c r="AA66" s="129"/>
      <c r="AB66" s="129"/>
      <c r="AC66" s="129"/>
      <c r="AD66" s="129"/>
      <c r="AE66" s="129"/>
      <c r="AF66" s="129"/>
      <c r="AG66" s="129"/>
      <c r="AH66" s="129"/>
      <c r="AI66" s="129"/>
      <c r="AJ66" s="129"/>
      <c r="AK66" s="129"/>
      <c r="AL66" s="129"/>
      <c r="AM66" s="129"/>
      <c r="AN66" s="129"/>
      <c r="AO66" s="129"/>
      <c r="AP66" s="129"/>
      <c r="AQ66" s="129"/>
      <c r="AR66" s="129"/>
      <c r="AS66" s="129"/>
      <c r="AT66" s="129"/>
      <c r="AU66" s="129"/>
      <c r="AV66" s="129"/>
      <c r="AW66" s="129"/>
      <c r="AX66" s="129"/>
      <c r="AY66" s="129"/>
      <c r="AZ66" s="129"/>
      <c r="BA66" s="129"/>
      <c r="BB66" s="129"/>
      <c r="BC66" s="129"/>
      <c r="BD66" s="129"/>
      <c r="BE66" s="129"/>
      <c r="BF66" s="129"/>
      <c r="BG66" s="129"/>
      <c r="BH66" s="129"/>
      <c r="BI66" s="129"/>
      <c r="BJ66" s="129"/>
      <c r="BK66" s="129"/>
      <c r="BL66" s="129"/>
      <c r="BM66" s="129"/>
      <c r="BN66" s="129"/>
    </row>
    <row r="67" spans="20:66" ht="15.75" x14ac:dyDescent="0.25">
      <c r="T67" s="166"/>
      <c r="U67" s="166"/>
      <c r="V67" s="124"/>
      <c r="W67" s="123"/>
      <c r="X67" s="123"/>
      <c r="Y67" s="129"/>
      <c r="Z67" s="129"/>
      <c r="AA67" s="129"/>
      <c r="AB67" s="129"/>
      <c r="AC67" s="129"/>
      <c r="AD67" s="129"/>
      <c r="AE67" s="129"/>
      <c r="AF67" s="129"/>
      <c r="AG67" s="129"/>
      <c r="AH67" s="129"/>
      <c r="AI67" s="129"/>
      <c r="AJ67" s="129"/>
      <c r="AK67" s="129"/>
      <c r="AL67" s="129"/>
      <c r="AM67" s="129"/>
      <c r="AN67" s="129"/>
      <c r="AO67" s="129"/>
      <c r="AP67" s="129"/>
      <c r="AQ67" s="129"/>
      <c r="AR67" s="129"/>
      <c r="AS67" s="129"/>
      <c r="AT67" s="129"/>
      <c r="AU67" s="129"/>
      <c r="AV67" s="129"/>
      <c r="AW67" s="129"/>
      <c r="AX67" s="129"/>
      <c r="AY67" s="129"/>
      <c r="AZ67" s="129"/>
      <c r="BA67" s="129"/>
      <c r="BB67" s="129"/>
      <c r="BC67" s="129"/>
      <c r="BD67" s="129"/>
      <c r="BE67" s="129"/>
      <c r="BF67" s="129"/>
      <c r="BG67" s="129"/>
      <c r="BH67" s="129"/>
      <c r="BI67" s="129"/>
      <c r="BJ67" s="129"/>
      <c r="BK67" s="129"/>
      <c r="BL67" s="129"/>
      <c r="BM67" s="129"/>
      <c r="BN67" s="129"/>
    </row>
    <row r="68" spans="20:66" ht="15.75" x14ac:dyDescent="0.25">
      <c r="T68" s="166"/>
      <c r="U68" s="166"/>
      <c r="V68" s="124"/>
      <c r="W68" s="123"/>
      <c r="X68" s="123"/>
      <c r="Y68" s="129"/>
      <c r="Z68" s="129"/>
      <c r="AA68" s="129"/>
      <c r="AB68" s="129"/>
      <c r="AC68" s="129"/>
      <c r="AD68" s="129"/>
      <c r="AE68" s="129"/>
      <c r="AF68" s="129"/>
      <c r="AG68" s="129"/>
      <c r="AH68" s="129"/>
      <c r="AI68" s="129"/>
      <c r="AJ68" s="129"/>
      <c r="AK68" s="129"/>
      <c r="AL68" s="129"/>
      <c r="AM68" s="129"/>
      <c r="AN68" s="129"/>
      <c r="AO68" s="129"/>
      <c r="AP68" s="129"/>
      <c r="AQ68" s="129"/>
      <c r="AR68" s="129"/>
      <c r="AS68" s="129"/>
      <c r="AT68" s="129"/>
      <c r="AU68" s="129"/>
      <c r="AV68" s="129"/>
      <c r="AW68" s="129"/>
      <c r="AX68" s="129"/>
      <c r="AY68" s="129"/>
      <c r="AZ68" s="129"/>
      <c r="BA68" s="129"/>
      <c r="BB68" s="129"/>
      <c r="BC68" s="129"/>
      <c r="BD68" s="129"/>
      <c r="BE68" s="129"/>
      <c r="BF68" s="129"/>
      <c r="BG68" s="129"/>
      <c r="BH68" s="129"/>
      <c r="BI68" s="129"/>
      <c r="BJ68" s="129"/>
      <c r="BK68" s="129"/>
      <c r="BL68" s="129"/>
      <c r="BM68" s="129"/>
      <c r="BN68" s="129"/>
    </row>
    <row r="69" spans="20:66" ht="15.75" x14ac:dyDescent="0.25">
      <c r="T69" s="166"/>
      <c r="U69" s="166"/>
      <c r="V69" s="124"/>
      <c r="W69" s="123"/>
      <c r="X69" s="123"/>
      <c r="Y69" s="129"/>
      <c r="Z69" s="129"/>
      <c r="AA69" s="129"/>
      <c r="AB69" s="129"/>
      <c r="AC69" s="129"/>
      <c r="AD69" s="129"/>
      <c r="AE69" s="129"/>
      <c r="AF69" s="129"/>
      <c r="AG69" s="129"/>
      <c r="AH69" s="129"/>
      <c r="AI69" s="129"/>
      <c r="AJ69" s="129"/>
      <c r="AK69" s="129"/>
      <c r="AL69" s="129"/>
      <c r="AM69" s="129"/>
      <c r="AN69" s="129"/>
      <c r="AO69" s="129"/>
      <c r="AP69" s="129"/>
      <c r="AQ69" s="129"/>
      <c r="AR69" s="129"/>
      <c r="AS69" s="129"/>
      <c r="AT69" s="129"/>
      <c r="AU69" s="129"/>
      <c r="AV69" s="129"/>
      <c r="AW69" s="129"/>
      <c r="AX69" s="129"/>
      <c r="AY69" s="129"/>
      <c r="AZ69" s="129"/>
      <c r="BA69" s="129"/>
      <c r="BB69" s="129"/>
      <c r="BC69" s="129"/>
      <c r="BD69" s="129"/>
      <c r="BE69" s="129"/>
      <c r="BF69" s="129"/>
      <c r="BG69" s="129"/>
      <c r="BH69" s="129"/>
      <c r="BI69" s="129"/>
      <c r="BJ69" s="129"/>
      <c r="BK69" s="129"/>
      <c r="BL69" s="129"/>
      <c r="BM69" s="129"/>
      <c r="BN69" s="129"/>
    </row>
    <row r="70" spans="20:66" ht="15.75" x14ac:dyDescent="0.25">
      <c r="T70" s="166"/>
      <c r="U70" s="166"/>
      <c r="V70" s="124"/>
      <c r="W70" s="123"/>
      <c r="X70" s="123"/>
      <c r="Y70" s="129"/>
      <c r="Z70" s="129"/>
      <c r="AA70" s="129"/>
      <c r="AB70" s="129"/>
      <c r="AC70" s="129"/>
      <c r="AD70" s="129"/>
      <c r="AE70" s="129"/>
      <c r="AF70" s="129"/>
      <c r="AG70" s="129"/>
      <c r="AH70" s="129"/>
      <c r="AI70" s="129"/>
      <c r="AJ70" s="129"/>
      <c r="AK70" s="129"/>
      <c r="AL70" s="129"/>
      <c r="AM70" s="129"/>
      <c r="AN70" s="129"/>
      <c r="AO70" s="129"/>
      <c r="AP70" s="129"/>
      <c r="AQ70" s="129"/>
      <c r="AR70" s="129"/>
      <c r="AS70" s="129"/>
      <c r="AT70" s="129"/>
      <c r="AU70" s="129"/>
      <c r="AV70" s="129"/>
      <c r="AW70" s="129"/>
      <c r="AX70" s="129"/>
      <c r="AY70" s="129"/>
      <c r="AZ70" s="129"/>
      <c r="BA70" s="129"/>
      <c r="BB70" s="129"/>
      <c r="BC70" s="129"/>
      <c r="BD70" s="129"/>
      <c r="BE70" s="129"/>
      <c r="BF70" s="129"/>
      <c r="BG70" s="129"/>
      <c r="BH70" s="129"/>
      <c r="BI70" s="129"/>
      <c r="BJ70" s="129"/>
      <c r="BK70" s="129"/>
      <c r="BL70" s="129"/>
      <c r="BM70" s="129"/>
      <c r="BN70" s="129"/>
    </row>
    <row r="71" spans="20:66" ht="15.75" x14ac:dyDescent="0.25">
      <c r="T71" s="166"/>
      <c r="U71" s="166"/>
      <c r="V71" s="124"/>
      <c r="W71" s="123"/>
      <c r="X71" s="123"/>
      <c r="Y71" s="129"/>
      <c r="Z71" s="129"/>
      <c r="AA71" s="129"/>
      <c r="AB71" s="129"/>
      <c r="AC71" s="129"/>
      <c r="AD71" s="129"/>
      <c r="AE71" s="129"/>
      <c r="AF71" s="129"/>
      <c r="AG71" s="129"/>
      <c r="AH71" s="129"/>
      <c r="AI71" s="129"/>
      <c r="AJ71" s="129"/>
      <c r="AK71" s="129"/>
      <c r="AL71" s="129"/>
      <c r="AM71" s="129"/>
      <c r="AN71" s="129"/>
      <c r="AO71" s="129"/>
      <c r="AP71" s="129"/>
      <c r="AQ71" s="129"/>
      <c r="AR71" s="129"/>
      <c r="AS71" s="129"/>
      <c r="AT71" s="129"/>
      <c r="AU71" s="129"/>
      <c r="AV71" s="129"/>
      <c r="AW71" s="129"/>
      <c r="AX71" s="129"/>
      <c r="AY71" s="129"/>
      <c r="AZ71" s="129"/>
      <c r="BA71" s="129"/>
      <c r="BB71" s="129"/>
      <c r="BC71" s="129"/>
      <c r="BD71" s="129"/>
      <c r="BE71" s="129"/>
      <c r="BF71" s="129"/>
      <c r="BG71" s="129"/>
      <c r="BH71" s="129"/>
      <c r="BI71" s="129"/>
      <c r="BJ71" s="129"/>
      <c r="BK71" s="129"/>
      <c r="BL71" s="129"/>
      <c r="BM71" s="129"/>
      <c r="BN71" s="129"/>
    </row>
    <row r="72" spans="20:66" ht="15.75" x14ac:dyDescent="0.25">
      <c r="T72" s="166"/>
      <c r="U72" s="166"/>
      <c r="V72" s="124"/>
      <c r="W72" s="123"/>
      <c r="X72" s="123"/>
      <c r="Y72" s="129"/>
      <c r="Z72" s="129"/>
      <c r="AA72" s="129"/>
      <c r="AB72" s="129"/>
      <c r="AC72" s="129"/>
      <c r="AD72" s="129"/>
      <c r="AE72" s="129"/>
      <c r="AF72" s="129"/>
      <c r="AG72" s="129"/>
      <c r="AH72" s="129"/>
      <c r="AI72" s="129"/>
      <c r="AJ72" s="129"/>
      <c r="AK72" s="129"/>
      <c r="AL72" s="129"/>
      <c r="AM72" s="129"/>
      <c r="AN72" s="129"/>
      <c r="AO72" s="129"/>
      <c r="AP72" s="129"/>
      <c r="AQ72" s="129"/>
      <c r="AR72" s="129"/>
      <c r="AS72" s="129"/>
      <c r="AT72" s="129"/>
      <c r="AU72" s="129"/>
      <c r="AV72" s="129"/>
      <c r="AW72" s="129"/>
      <c r="AX72" s="129"/>
      <c r="AY72" s="129"/>
      <c r="AZ72" s="129"/>
      <c r="BA72" s="129"/>
      <c r="BB72" s="129"/>
      <c r="BC72" s="129"/>
      <c r="BD72" s="129"/>
      <c r="BE72" s="129"/>
      <c r="BF72" s="129"/>
      <c r="BG72" s="129"/>
      <c r="BH72" s="129"/>
      <c r="BI72" s="129"/>
      <c r="BJ72" s="129"/>
      <c r="BK72" s="129"/>
      <c r="BL72" s="129"/>
      <c r="BM72" s="129"/>
      <c r="BN72" s="129"/>
    </row>
    <row r="73" spans="20:66" ht="15.75" x14ac:dyDescent="0.25">
      <c r="T73" s="166"/>
      <c r="U73" s="166"/>
      <c r="V73" s="124"/>
      <c r="W73" s="123"/>
      <c r="X73" s="123"/>
      <c r="Y73" s="129"/>
      <c r="Z73" s="129"/>
      <c r="AA73" s="129"/>
      <c r="AB73" s="129"/>
      <c r="AC73" s="129"/>
      <c r="AD73" s="129"/>
      <c r="AE73" s="129"/>
      <c r="AF73" s="129"/>
      <c r="AG73" s="129"/>
      <c r="AH73" s="129"/>
      <c r="AI73" s="129"/>
      <c r="AJ73" s="129"/>
      <c r="AK73" s="129"/>
      <c r="AL73" s="129"/>
      <c r="AM73" s="129"/>
      <c r="AN73" s="129"/>
      <c r="AO73" s="129"/>
      <c r="AP73" s="129"/>
      <c r="AQ73" s="129"/>
      <c r="AR73" s="129"/>
      <c r="AS73" s="129"/>
      <c r="AT73" s="129"/>
      <c r="AU73" s="129"/>
      <c r="AV73" s="129"/>
      <c r="AW73" s="129"/>
      <c r="AX73" s="129"/>
      <c r="AY73" s="129"/>
      <c r="AZ73" s="129"/>
      <c r="BA73" s="129"/>
      <c r="BB73" s="129"/>
      <c r="BC73" s="129"/>
      <c r="BD73" s="129"/>
      <c r="BE73" s="129"/>
      <c r="BF73" s="129"/>
      <c r="BG73" s="129"/>
      <c r="BH73" s="129"/>
      <c r="BI73" s="129"/>
      <c r="BJ73" s="129"/>
      <c r="BK73" s="129"/>
      <c r="BL73" s="129"/>
      <c r="BM73" s="129"/>
      <c r="BN73" s="129"/>
    </row>
    <row r="74" spans="20:66" ht="15.75" x14ac:dyDescent="0.25">
      <c r="T74" s="166"/>
      <c r="U74" s="166"/>
      <c r="V74" s="124"/>
      <c r="W74" s="123"/>
      <c r="X74" s="123"/>
      <c r="Y74" s="129"/>
      <c r="Z74" s="129"/>
      <c r="AA74" s="129"/>
      <c r="AB74" s="129"/>
      <c r="AC74" s="129"/>
      <c r="AD74" s="129"/>
      <c r="AE74" s="129"/>
      <c r="AF74" s="129"/>
      <c r="AG74" s="129"/>
      <c r="AH74" s="129"/>
      <c r="AI74" s="129"/>
      <c r="AJ74" s="129"/>
      <c r="AK74" s="129"/>
      <c r="AL74" s="129"/>
      <c r="AM74" s="129"/>
      <c r="AN74" s="129"/>
      <c r="AO74" s="129"/>
      <c r="AP74" s="129"/>
      <c r="AQ74" s="129"/>
      <c r="AR74" s="129"/>
      <c r="AS74" s="129"/>
      <c r="AT74" s="129"/>
      <c r="AU74" s="129"/>
      <c r="AV74" s="129"/>
      <c r="AW74" s="129"/>
      <c r="AX74" s="129"/>
      <c r="AY74" s="129"/>
      <c r="AZ74" s="129"/>
      <c r="BA74" s="129"/>
      <c r="BB74" s="129"/>
      <c r="BC74" s="129"/>
      <c r="BD74" s="129"/>
      <c r="BE74" s="129"/>
      <c r="BF74" s="129"/>
      <c r="BG74" s="129"/>
      <c r="BH74" s="129"/>
      <c r="BI74" s="129"/>
      <c r="BJ74" s="129"/>
      <c r="BK74" s="129"/>
      <c r="BL74" s="129"/>
      <c r="BM74" s="129"/>
      <c r="BN74" s="129"/>
    </row>
    <row r="75" spans="20:66" ht="15.75" x14ac:dyDescent="0.25">
      <c r="T75" s="166"/>
      <c r="U75" s="166"/>
      <c r="V75" s="124"/>
      <c r="W75" s="124"/>
      <c r="X75" s="123"/>
      <c r="Y75" s="129"/>
      <c r="Z75" s="129"/>
      <c r="AA75" s="129"/>
      <c r="AB75" s="129"/>
      <c r="AC75" s="129"/>
      <c r="AD75" s="129"/>
      <c r="AE75" s="129"/>
      <c r="AF75" s="129"/>
      <c r="AG75" s="129"/>
      <c r="AH75" s="129"/>
      <c r="AI75" s="129"/>
      <c r="AJ75" s="129"/>
      <c r="AK75" s="129"/>
      <c r="AL75" s="129"/>
      <c r="AM75" s="129"/>
      <c r="AN75" s="129"/>
      <c r="AO75" s="129"/>
      <c r="AP75" s="129"/>
      <c r="AQ75" s="129"/>
      <c r="AR75" s="129"/>
      <c r="AS75" s="129"/>
      <c r="AT75" s="129"/>
      <c r="AU75" s="129"/>
      <c r="AV75" s="129"/>
      <c r="AW75" s="129"/>
      <c r="AX75" s="129"/>
      <c r="AY75" s="129"/>
      <c r="AZ75" s="129"/>
      <c r="BA75" s="129"/>
      <c r="BB75" s="129"/>
      <c r="BC75" s="129"/>
      <c r="BD75" s="129"/>
      <c r="BE75" s="129"/>
      <c r="BF75" s="129"/>
      <c r="BG75" s="129"/>
      <c r="BH75" s="129"/>
      <c r="BI75" s="129"/>
      <c r="BJ75" s="129"/>
      <c r="BK75" s="129"/>
      <c r="BL75" s="129"/>
      <c r="BM75" s="129"/>
      <c r="BN75" s="129"/>
    </row>
    <row r="76" spans="20:66" ht="15.75" x14ac:dyDescent="0.25">
      <c r="T76" s="166"/>
      <c r="U76" s="166"/>
      <c r="V76" s="124"/>
      <c r="W76" s="124"/>
      <c r="X76" s="123"/>
      <c r="Y76" s="129"/>
      <c r="Z76" s="129"/>
      <c r="AA76" s="129"/>
      <c r="AB76" s="129"/>
      <c r="AC76" s="129"/>
      <c r="AD76" s="129"/>
      <c r="AE76" s="129"/>
      <c r="AF76" s="129"/>
      <c r="AG76" s="129"/>
      <c r="AH76" s="129"/>
      <c r="AI76" s="129"/>
      <c r="AJ76" s="129"/>
      <c r="AK76" s="129"/>
      <c r="AL76" s="129"/>
      <c r="AM76" s="129"/>
      <c r="AN76" s="129"/>
      <c r="AO76" s="129"/>
      <c r="AP76" s="129"/>
      <c r="AQ76" s="129"/>
      <c r="AR76" s="129"/>
      <c r="AS76" s="129"/>
      <c r="AT76" s="129"/>
      <c r="AU76" s="129"/>
      <c r="AV76" s="129"/>
      <c r="AW76" s="129"/>
      <c r="AX76" s="129"/>
      <c r="AY76" s="129"/>
      <c r="AZ76" s="129"/>
      <c r="BA76" s="129"/>
      <c r="BB76" s="129"/>
      <c r="BC76" s="129"/>
      <c r="BD76" s="129"/>
      <c r="BE76" s="129"/>
      <c r="BF76" s="129"/>
      <c r="BG76" s="129"/>
      <c r="BH76" s="129"/>
      <c r="BI76" s="129"/>
      <c r="BJ76" s="129"/>
      <c r="BK76" s="129"/>
      <c r="BL76" s="129"/>
      <c r="BM76" s="129"/>
      <c r="BN76" s="129"/>
    </row>
    <row r="77" spans="20:66" ht="15.75" x14ac:dyDescent="0.25">
      <c r="T77" s="166"/>
      <c r="U77" s="166"/>
      <c r="V77" s="124"/>
      <c r="W77" s="124"/>
      <c r="X77" s="124"/>
      <c r="Y77" s="129"/>
      <c r="Z77" s="129"/>
      <c r="AA77" s="129"/>
      <c r="AB77" s="129"/>
      <c r="AC77" s="129"/>
      <c r="AD77" s="129"/>
      <c r="AE77" s="129"/>
      <c r="AF77" s="129"/>
      <c r="AG77" s="129"/>
      <c r="AH77" s="129"/>
      <c r="AI77" s="129"/>
      <c r="AJ77" s="129"/>
      <c r="AK77" s="129"/>
      <c r="AL77" s="129"/>
      <c r="AM77" s="129"/>
      <c r="AN77" s="129"/>
      <c r="AO77" s="129"/>
      <c r="AP77" s="129"/>
      <c r="AQ77" s="129"/>
      <c r="AR77" s="129"/>
      <c r="AS77" s="129"/>
      <c r="AT77" s="129"/>
      <c r="AU77" s="129"/>
      <c r="AV77" s="129"/>
      <c r="AW77" s="129"/>
      <c r="AX77" s="129"/>
      <c r="AY77" s="129"/>
      <c r="AZ77" s="129"/>
      <c r="BA77" s="129"/>
      <c r="BB77" s="129"/>
      <c r="BC77" s="129"/>
      <c r="BD77" s="129"/>
      <c r="BE77" s="129"/>
      <c r="BF77" s="129"/>
      <c r="BG77" s="129"/>
      <c r="BH77" s="129"/>
      <c r="BI77" s="129"/>
      <c r="BJ77" s="129"/>
      <c r="BK77" s="129"/>
      <c r="BL77" s="129"/>
      <c r="BM77" s="129"/>
      <c r="BN77" s="129"/>
    </row>
    <row r="78" spans="20:66" ht="15.75" x14ac:dyDescent="0.25">
      <c r="T78" s="166"/>
      <c r="U78" s="166"/>
      <c r="V78" s="124"/>
      <c r="W78" s="124"/>
      <c r="X78" s="124"/>
      <c r="Y78" s="129"/>
      <c r="Z78" s="129"/>
      <c r="AA78" s="129"/>
      <c r="AB78" s="129"/>
      <c r="AC78" s="129"/>
      <c r="AD78" s="129"/>
      <c r="AE78" s="129"/>
      <c r="AF78" s="129"/>
      <c r="AG78" s="129"/>
      <c r="AH78" s="129"/>
      <c r="AI78" s="129"/>
      <c r="AJ78" s="129"/>
      <c r="AK78" s="129"/>
      <c r="AL78" s="129"/>
      <c r="AM78" s="129"/>
      <c r="AN78" s="129"/>
      <c r="AO78" s="129"/>
      <c r="AP78" s="129"/>
      <c r="AQ78" s="129"/>
      <c r="AR78" s="129"/>
      <c r="AS78" s="129"/>
      <c r="AT78" s="129"/>
      <c r="AU78" s="129"/>
      <c r="AV78" s="129"/>
      <c r="AW78" s="129"/>
      <c r="AX78" s="129"/>
      <c r="AY78" s="129"/>
      <c r="AZ78" s="129"/>
      <c r="BA78" s="129"/>
      <c r="BB78" s="129"/>
      <c r="BC78" s="129"/>
      <c r="BD78" s="129"/>
      <c r="BE78" s="129"/>
      <c r="BF78" s="129"/>
      <c r="BG78" s="129"/>
      <c r="BH78" s="129"/>
      <c r="BI78" s="129"/>
      <c r="BJ78" s="129"/>
      <c r="BK78" s="129"/>
      <c r="BL78" s="129"/>
      <c r="BM78" s="129"/>
      <c r="BN78" s="129"/>
    </row>
    <row r="79" spans="20:66" ht="15.75" x14ac:dyDescent="0.25">
      <c r="T79" s="166"/>
      <c r="U79" s="166"/>
      <c r="V79" s="124"/>
      <c r="W79" s="124"/>
      <c r="X79" s="124"/>
      <c r="Y79" s="129"/>
      <c r="Z79" s="129"/>
      <c r="AA79" s="129"/>
      <c r="AB79" s="129"/>
      <c r="AC79" s="129"/>
      <c r="AD79" s="129"/>
      <c r="AE79" s="129"/>
      <c r="AF79" s="129"/>
      <c r="AG79" s="129"/>
      <c r="AH79" s="129"/>
      <c r="AI79" s="129"/>
      <c r="AJ79" s="129"/>
      <c r="AK79" s="129"/>
      <c r="AL79" s="129"/>
      <c r="AM79" s="129"/>
      <c r="AN79" s="129"/>
      <c r="AO79" s="129"/>
      <c r="AP79" s="129"/>
      <c r="AQ79" s="129"/>
      <c r="AR79" s="129"/>
      <c r="AS79" s="129"/>
      <c r="AT79" s="129"/>
      <c r="AU79" s="129"/>
      <c r="AV79" s="129"/>
      <c r="AW79" s="129"/>
      <c r="AX79" s="129"/>
      <c r="AY79" s="129"/>
      <c r="AZ79" s="129"/>
      <c r="BA79" s="129"/>
      <c r="BB79" s="129"/>
      <c r="BC79" s="129"/>
      <c r="BD79" s="129"/>
      <c r="BE79" s="129"/>
      <c r="BF79" s="129"/>
      <c r="BG79" s="129"/>
      <c r="BH79" s="129"/>
      <c r="BI79" s="129"/>
      <c r="BJ79" s="129"/>
      <c r="BK79" s="129"/>
      <c r="BL79" s="129"/>
      <c r="BM79" s="129"/>
      <c r="BN79" s="129"/>
    </row>
    <row r="80" spans="20:66" ht="15.75" x14ac:dyDescent="0.25">
      <c r="T80" s="166"/>
      <c r="U80" s="166"/>
      <c r="V80" s="124"/>
      <c r="W80" s="124"/>
      <c r="X80" s="124"/>
      <c r="Y80" s="129"/>
      <c r="Z80" s="129"/>
      <c r="AA80" s="129"/>
      <c r="AB80" s="129"/>
      <c r="AC80" s="129"/>
      <c r="AD80" s="129"/>
      <c r="AE80" s="129"/>
      <c r="AF80" s="129"/>
      <c r="AG80" s="129"/>
      <c r="AH80" s="129"/>
      <c r="AI80" s="129"/>
      <c r="AJ80" s="129"/>
      <c r="AK80" s="129"/>
      <c r="AL80" s="129"/>
      <c r="AM80" s="129"/>
      <c r="AN80" s="129"/>
      <c r="AO80" s="129"/>
      <c r="AP80" s="129"/>
      <c r="AQ80" s="129"/>
      <c r="AR80" s="129"/>
      <c r="AS80" s="129"/>
      <c r="AT80" s="129"/>
      <c r="AU80" s="129"/>
      <c r="AV80" s="129"/>
      <c r="AW80" s="129"/>
      <c r="AX80" s="129"/>
      <c r="AY80" s="129"/>
      <c r="AZ80" s="129"/>
      <c r="BA80" s="129"/>
      <c r="BB80" s="129"/>
      <c r="BC80" s="129"/>
      <c r="BD80" s="129"/>
      <c r="BE80" s="129"/>
      <c r="BF80" s="129"/>
      <c r="BG80" s="129"/>
      <c r="BH80" s="129"/>
      <c r="BI80" s="129"/>
      <c r="BJ80" s="129"/>
      <c r="BK80" s="129"/>
      <c r="BL80" s="129"/>
      <c r="BM80" s="129"/>
      <c r="BN80" s="129"/>
    </row>
    <row r="81" spans="20:66" ht="15.75" x14ac:dyDescent="0.25">
      <c r="T81" s="149"/>
      <c r="U81" s="149"/>
      <c r="V81" s="124"/>
      <c r="W81" s="124"/>
      <c r="X81" s="124"/>
      <c r="Y81" s="129"/>
      <c r="Z81" s="129"/>
      <c r="AA81" s="129"/>
      <c r="AB81" s="129"/>
      <c r="AC81" s="129"/>
      <c r="AD81" s="129"/>
      <c r="AE81" s="129"/>
      <c r="AF81" s="129"/>
      <c r="AG81" s="129"/>
      <c r="AH81" s="129"/>
      <c r="AI81" s="129"/>
      <c r="AJ81" s="129"/>
      <c r="AK81" s="129"/>
      <c r="AL81" s="129"/>
      <c r="AM81" s="129"/>
      <c r="AN81" s="129"/>
      <c r="AO81" s="129"/>
      <c r="AP81" s="129"/>
      <c r="AQ81" s="129"/>
      <c r="AR81" s="129"/>
      <c r="AS81" s="129"/>
      <c r="AT81" s="129"/>
      <c r="AU81" s="129"/>
      <c r="AV81" s="129"/>
      <c r="AW81" s="129"/>
      <c r="AX81" s="129"/>
      <c r="AY81" s="129"/>
      <c r="AZ81" s="129"/>
      <c r="BA81" s="129"/>
      <c r="BB81" s="129"/>
      <c r="BC81" s="129"/>
      <c r="BD81" s="129"/>
      <c r="BE81" s="129"/>
      <c r="BF81" s="129"/>
      <c r="BG81" s="129"/>
      <c r="BH81" s="129"/>
      <c r="BI81" s="129"/>
      <c r="BJ81" s="129"/>
      <c r="BK81" s="129"/>
      <c r="BL81" s="129"/>
      <c r="BM81" s="129"/>
      <c r="BN81" s="129"/>
    </row>
    <row r="82" spans="20:66" ht="15.75" x14ac:dyDescent="0.25">
      <c r="T82" s="149"/>
      <c r="U82" s="149"/>
      <c r="V82" s="124"/>
      <c r="W82" s="124"/>
      <c r="X82" s="124"/>
      <c r="Y82" s="129"/>
      <c r="Z82" s="129"/>
      <c r="AA82" s="129"/>
      <c r="AB82" s="129"/>
      <c r="AC82" s="129"/>
      <c r="AD82" s="129"/>
      <c r="AE82" s="129"/>
      <c r="AF82" s="129"/>
      <c r="AG82" s="129"/>
      <c r="AH82" s="129"/>
      <c r="AI82" s="129"/>
      <c r="AJ82" s="129"/>
      <c r="AK82" s="129"/>
      <c r="AL82" s="129"/>
      <c r="AM82" s="129"/>
      <c r="AN82" s="129"/>
      <c r="AO82" s="129"/>
      <c r="AP82" s="129"/>
      <c r="AQ82" s="129"/>
      <c r="AR82" s="129"/>
      <c r="AS82" s="129"/>
      <c r="AT82" s="129"/>
      <c r="AU82" s="129"/>
      <c r="AV82" s="129"/>
      <c r="AW82" s="129"/>
      <c r="AX82" s="129"/>
      <c r="AY82" s="129"/>
      <c r="AZ82" s="129"/>
      <c r="BA82" s="129"/>
      <c r="BB82" s="129"/>
      <c r="BC82" s="129"/>
      <c r="BD82" s="129"/>
      <c r="BE82" s="129"/>
      <c r="BF82" s="129"/>
      <c r="BG82" s="129"/>
      <c r="BH82" s="129"/>
      <c r="BI82" s="129"/>
      <c r="BJ82" s="129"/>
      <c r="BK82" s="129"/>
      <c r="BL82" s="129"/>
      <c r="BM82" s="129"/>
      <c r="BN82" s="129"/>
    </row>
    <row r="83" spans="20:66" ht="15.75" x14ac:dyDescent="0.25">
      <c r="T83" s="149"/>
      <c r="U83" s="149"/>
      <c r="V83" s="124"/>
      <c r="W83" s="124"/>
      <c r="X83" s="123"/>
      <c r="Y83" s="129"/>
      <c r="Z83" s="129"/>
      <c r="AA83" s="129"/>
      <c r="AB83" s="129"/>
      <c r="AC83" s="129"/>
      <c r="AD83" s="129"/>
      <c r="AE83" s="129"/>
      <c r="AF83" s="129"/>
      <c r="AG83" s="129"/>
      <c r="AH83" s="129"/>
      <c r="AI83" s="129"/>
      <c r="AJ83" s="129"/>
      <c r="AK83" s="129"/>
      <c r="AL83" s="129"/>
      <c r="AM83" s="129"/>
      <c r="AN83" s="129"/>
      <c r="AO83" s="129"/>
      <c r="AP83" s="129"/>
      <c r="AQ83" s="129"/>
      <c r="AR83" s="129"/>
      <c r="AS83" s="129"/>
      <c r="AT83" s="129"/>
      <c r="AU83" s="129"/>
      <c r="AV83" s="129"/>
      <c r="AW83" s="129"/>
      <c r="AX83" s="129"/>
      <c r="AY83" s="129"/>
      <c r="AZ83" s="129"/>
      <c r="BA83" s="129"/>
      <c r="BB83" s="129"/>
      <c r="BC83" s="129"/>
      <c r="BD83" s="129"/>
      <c r="BE83" s="129"/>
      <c r="BF83" s="129"/>
      <c r="BG83" s="129"/>
      <c r="BH83" s="129"/>
      <c r="BI83" s="129"/>
      <c r="BJ83" s="129"/>
      <c r="BK83" s="129"/>
      <c r="BL83" s="129"/>
      <c r="BM83" s="129"/>
      <c r="BN83" s="129"/>
    </row>
    <row r="84" spans="20:66" ht="15.75" x14ac:dyDescent="0.25">
      <c r="T84" s="149"/>
      <c r="U84" s="149"/>
      <c r="V84" s="124"/>
      <c r="W84" s="124"/>
      <c r="X84" s="123"/>
      <c r="Y84" s="129"/>
      <c r="Z84" s="129"/>
      <c r="AA84" s="129"/>
      <c r="AB84" s="129"/>
      <c r="AC84" s="129"/>
      <c r="AD84" s="129"/>
      <c r="AE84" s="129"/>
      <c r="AF84" s="129"/>
      <c r="AG84" s="129"/>
      <c r="AH84" s="129"/>
      <c r="AI84" s="129"/>
      <c r="AJ84" s="129"/>
      <c r="AK84" s="129"/>
      <c r="AL84" s="129"/>
      <c r="AM84" s="129"/>
      <c r="AN84" s="129"/>
      <c r="AO84" s="129"/>
      <c r="AP84" s="129"/>
      <c r="AQ84" s="129"/>
      <c r="AR84" s="129"/>
      <c r="AS84" s="129"/>
      <c r="AT84" s="129"/>
      <c r="AU84" s="129"/>
      <c r="AV84" s="129"/>
      <c r="AW84" s="129"/>
      <c r="AX84" s="129"/>
      <c r="AY84" s="129"/>
      <c r="AZ84" s="129"/>
      <c r="BA84" s="129"/>
      <c r="BB84" s="129"/>
      <c r="BC84" s="129"/>
      <c r="BD84" s="129"/>
      <c r="BE84" s="129"/>
      <c r="BF84" s="129"/>
      <c r="BG84" s="129"/>
      <c r="BH84" s="129"/>
      <c r="BI84" s="129"/>
      <c r="BJ84" s="129"/>
      <c r="BK84" s="129"/>
      <c r="BL84" s="129"/>
      <c r="BM84" s="129"/>
      <c r="BN84" s="129"/>
    </row>
    <row r="85" spans="20:66" ht="15.75" x14ac:dyDescent="0.25">
      <c r="T85" s="149"/>
      <c r="U85" s="149"/>
      <c r="V85" s="124"/>
      <c r="W85" s="124"/>
      <c r="X85" s="123"/>
      <c r="Y85" s="129"/>
      <c r="Z85" s="129"/>
      <c r="AA85" s="129"/>
      <c r="AB85" s="129"/>
      <c r="AC85" s="129"/>
      <c r="AD85" s="129"/>
      <c r="AE85" s="129"/>
      <c r="AF85" s="129"/>
      <c r="AG85" s="129"/>
      <c r="AH85" s="129"/>
      <c r="AI85" s="129"/>
      <c r="AJ85" s="129"/>
      <c r="AK85" s="129"/>
      <c r="AL85" s="129"/>
      <c r="AM85" s="129"/>
      <c r="AN85" s="129"/>
      <c r="AO85" s="129"/>
      <c r="AP85" s="129"/>
      <c r="AQ85" s="129"/>
      <c r="AR85" s="129"/>
      <c r="AS85" s="129"/>
      <c r="AT85" s="129"/>
      <c r="AU85" s="129"/>
      <c r="AV85" s="129"/>
      <c r="AW85" s="129"/>
      <c r="AX85" s="129"/>
      <c r="AY85" s="129"/>
      <c r="AZ85" s="129"/>
      <c r="BA85" s="129"/>
      <c r="BB85" s="129"/>
      <c r="BC85" s="129"/>
      <c r="BD85" s="129"/>
      <c r="BE85" s="129"/>
      <c r="BF85" s="129"/>
      <c r="BG85" s="129"/>
      <c r="BH85" s="129"/>
      <c r="BI85" s="129"/>
      <c r="BJ85" s="129"/>
      <c r="BK85" s="129"/>
      <c r="BL85" s="129"/>
      <c r="BM85" s="129"/>
      <c r="BN85" s="129"/>
    </row>
    <row r="86" spans="20:66" ht="15.75" x14ac:dyDescent="0.25">
      <c r="T86" s="166"/>
      <c r="U86" s="166"/>
      <c r="V86" s="124"/>
      <c r="W86" s="124"/>
      <c r="X86" s="123"/>
      <c r="Y86" s="129"/>
      <c r="Z86" s="129"/>
      <c r="AA86" s="129"/>
      <c r="AB86" s="129"/>
      <c r="AC86" s="129"/>
      <c r="AD86" s="129"/>
      <c r="AE86" s="129"/>
      <c r="AF86" s="129"/>
      <c r="AG86" s="129"/>
      <c r="AH86" s="129"/>
      <c r="AI86" s="129"/>
      <c r="AJ86" s="129"/>
      <c r="AK86" s="129"/>
      <c r="AL86" s="129"/>
      <c r="AM86" s="129"/>
      <c r="AN86" s="129"/>
      <c r="AO86" s="129"/>
      <c r="AP86" s="129"/>
      <c r="AQ86" s="129"/>
      <c r="AR86" s="129"/>
      <c r="AS86" s="129"/>
      <c r="AT86" s="129"/>
      <c r="AU86" s="129"/>
      <c r="AV86" s="129"/>
      <c r="AW86" s="129"/>
      <c r="AX86" s="129"/>
      <c r="AY86" s="129"/>
      <c r="AZ86" s="129"/>
      <c r="BA86" s="129"/>
      <c r="BB86" s="129"/>
      <c r="BC86" s="129"/>
      <c r="BD86" s="129"/>
      <c r="BE86" s="129"/>
      <c r="BF86" s="129"/>
      <c r="BG86" s="129"/>
      <c r="BH86" s="129"/>
      <c r="BI86" s="129"/>
      <c r="BJ86" s="129"/>
      <c r="BK86" s="129"/>
      <c r="BL86" s="129"/>
      <c r="BM86" s="129"/>
      <c r="BN86" s="129"/>
    </row>
    <row r="87" spans="20:66" ht="15.75" x14ac:dyDescent="0.25">
      <c r="T87" s="15"/>
      <c r="U87" s="15"/>
      <c r="V87" s="124"/>
      <c r="W87" s="124"/>
      <c r="X87" s="123"/>
      <c r="Y87" s="129"/>
      <c r="Z87" s="129"/>
      <c r="AA87" s="129"/>
      <c r="AB87" s="129"/>
      <c r="AC87" s="129"/>
      <c r="AD87" s="129"/>
      <c r="AE87" s="129"/>
      <c r="AF87" s="129"/>
      <c r="AG87" s="129"/>
      <c r="AH87" s="129"/>
      <c r="AI87" s="129"/>
      <c r="AJ87" s="129"/>
      <c r="AK87" s="129"/>
      <c r="AL87" s="129"/>
      <c r="AM87" s="129"/>
      <c r="AN87" s="129"/>
      <c r="AO87" s="129"/>
      <c r="AP87" s="129"/>
      <c r="AQ87" s="129"/>
      <c r="AR87" s="129"/>
      <c r="AS87" s="129"/>
      <c r="AT87" s="129"/>
      <c r="AU87" s="129"/>
      <c r="AV87" s="129"/>
      <c r="AW87" s="129"/>
      <c r="AX87" s="129"/>
      <c r="AY87" s="129"/>
      <c r="AZ87" s="129"/>
      <c r="BA87" s="129"/>
      <c r="BB87" s="129"/>
      <c r="BC87" s="129"/>
      <c r="BD87" s="129"/>
      <c r="BE87" s="129"/>
      <c r="BF87" s="129"/>
      <c r="BG87" s="129"/>
      <c r="BH87" s="129"/>
      <c r="BI87" s="129"/>
      <c r="BJ87" s="129"/>
      <c r="BK87" s="129"/>
      <c r="BL87" s="129"/>
      <c r="BM87" s="129"/>
      <c r="BN87" s="129"/>
    </row>
    <row r="88" spans="20:66" ht="15.75" x14ac:dyDescent="0.25">
      <c r="T88" s="15"/>
      <c r="U88" s="15"/>
      <c r="V88" s="124"/>
      <c r="W88" s="124"/>
      <c r="X88" s="124"/>
      <c r="Y88" s="240"/>
      <c r="Z88" s="240"/>
      <c r="AA88" s="240"/>
      <c r="AB88" s="240"/>
      <c r="AC88" s="240"/>
      <c r="AD88" s="240"/>
      <c r="AE88" s="240"/>
      <c r="AF88" s="240"/>
      <c r="AG88" s="240"/>
      <c r="AH88" s="240"/>
      <c r="AI88" s="240"/>
      <c r="AJ88" s="240"/>
      <c r="AK88" s="240"/>
      <c r="AL88" s="240"/>
      <c r="AM88" s="240"/>
      <c r="AN88" s="240"/>
      <c r="AO88" s="240"/>
      <c r="AP88" s="240"/>
      <c r="AQ88" s="240"/>
      <c r="AR88" s="240"/>
      <c r="AS88" s="240"/>
      <c r="AT88" s="240"/>
      <c r="AU88" s="240"/>
      <c r="AV88" s="240"/>
      <c r="AW88" s="240"/>
      <c r="AX88" s="240"/>
      <c r="AY88" s="240"/>
      <c r="AZ88" s="240"/>
      <c r="BA88" s="240"/>
      <c r="BB88" s="240"/>
      <c r="BC88" s="240"/>
      <c r="BD88" s="240"/>
      <c r="BE88" s="240"/>
      <c r="BF88" s="240"/>
      <c r="BG88" s="240"/>
      <c r="BH88" s="240"/>
      <c r="BI88" s="240"/>
      <c r="BJ88" s="240"/>
      <c r="BK88" s="240"/>
      <c r="BL88" s="240"/>
      <c r="BM88" s="240"/>
      <c r="BN88" s="240"/>
    </row>
    <row r="89" spans="20:66" ht="15.75" x14ac:dyDescent="0.25">
      <c r="T89" s="15"/>
      <c r="U89" s="15"/>
      <c r="V89" s="124"/>
      <c r="W89" s="124"/>
      <c r="X89" s="123"/>
      <c r="Y89" s="129"/>
      <c r="Z89" s="129"/>
      <c r="AA89" s="129"/>
      <c r="AB89" s="129"/>
      <c r="AC89" s="129"/>
      <c r="AD89" s="129"/>
      <c r="AE89" s="129"/>
      <c r="AF89" s="129"/>
      <c r="AG89" s="129"/>
      <c r="AH89" s="129"/>
      <c r="AI89" s="129"/>
      <c r="AJ89" s="129"/>
      <c r="AK89" s="129"/>
      <c r="AL89" s="129"/>
      <c r="AM89" s="129"/>
      <c r="AN89" s="129"/>
      <c r="AO89" s="129"/>
      <c r="AP89" s="129"/>
      <c r="AQ89" s="129"/>
      <c r="AR89" s="129"/>
      <c r="AS89" s="129"/>
      <c r="AT89" s="129"/>
      <c r="AU89" s="129"/>
      <c r="AV89" s="129"/>
      <c r="AW89" s="129"/>
      <c r="AX89" s="129"/>
      <c r="AY89" s="129"/>
      <c r="AZ89" s="129"/>
      <c r="BA89" s="129"/>
      <c r="BB89" s="129"/>
      <c r="BC89" s="129"/>
      <c r="BD89" s="129"/>
      <c r="BE89" s="129"/>
      <c r="BF89" s="129"/>
      <c r="BG89" s="129"/>
      <c r="BH89" s="129"/>
      <c r="BI89" s="129"/>
      <c r="BJ89" s="129"/>
      <c r="BK89" s="129"/>
      <c r="BL89" s="129"/>
      <c r="BM89" s="129"/>
      <c r="BN89" s="129"/>
    </row>
    <row r="90" spans="20:66" ht="15.75" x14ac:dyDescent="0.25">
      <c r="T90" s="166"/>
      <c r="U90" s="166"/>
      <c r="Y90" s="520"/>
      <c r="Z90" s="520"/>
      <c r="AA90" s="520"/>
      <c r="AB90" s="520"/>
      <c r="AC90" s="520"/>
      <c r="AD90" s="520"/>
      <c r="AE90" s="520"/>
      <c r="AF90" s="520"/>
      <c r="AG90" s="520"/>
      <c r="AH90" s="520"/>
      <c r="AI90" s="520"/>
      <c r="AJ90" s="520"/>
      <c r="AK90" s="520"/>
      <c r="AL90" s="520"/>
      <c r="AM90" s="520"/>
      <c r="AN90" s="520"/>
      <c r="AO90" s="520"/>
      <c r="AP90" s="520"/>
      <c r="AQ90" s="520"/>
      <c r="AR90" s="520"/>
      <c r="AS90" s="520"/>
      <c r="AT90" s="520"/>
      <c r="AU90" s="520"/>
      <c r="AV90" s="520"/>
      <c r="AW90" s="520"/>
      <c r="AX90" s="520"/>
      <c r="AY90" s="520"/>
      <c r="AZ90" s="520"/>
      <c r="BA90" s="520"/>
      <c r="BB90" s="520"/>
      <c r="BC90" s="520"/>
      <c r="BD90" s="520"/>
      <c r="BE90" s="520"/>
      <c r="BF90" s="520"/>
      <c r="BG90" s="520"/>
      <c r="BH90" s="520"/>
      <c r="BI90" s="520"/>
      <c r="BJ90" s="520"/>
      <c r="BK90" s="520"/>
      <c r="BL90" s="520"/>
      <c r="BM90" s="520"/>
      <c r="BN90" s="520"/>
    </row>
    <row r="91" spans="20:66" ht="15.75" x14ac:dyDescent="0.25">
      <c r="T91" s="166"/>
      <c r="U91" s="166"/>
      <c r="Y91" s="520"/>
      <c r="Z91" s="520"/>
      <c r="AA91" s="520"/>
      <c r="AB91" s="520"/>
      <c r="AC91" s="520"/>
      <c r="AD91" s="520"/>
      <c r="AE91" s="520"/>
      <c r="AF91" s="520"/>
      <c r="AG91" s="520"/>
      <c r="AH91" s="520"/>
      <c r="AI91" s="520"/>
      <c r="AJ91" s="520"/>
      <c r="AK91" s="520"/>
      <c r="AL91" s="520"/>
      <c r="AM91" s="520"/>
      <c r="AN91" s="520"/>
      <c r="AO91" s="520"/>
      <c r="AP91" s="520"/>
      <c r="AQ91" s="520"/>
      <c r="AR91" s="520"/>
      <c r="AS91" s="520"/>
      <c r="AT91" s="520"/>
      <c r="AU91" s="520"/>
      <c r="AV91" s="520"/>
      <c r="AW91" s="520"/>
      <c r="AX91" s="520"/>
      <c r="AY91" s="520"/>
      <c r="AZ91" s="520"/>
      <c r="BA91" s="520"/>
      <c r="BB91" s="520"/>
      <c r="BC91" s="520"/>
      <c r="BD91" s="520"/>
      <c r="BE91" s="520"/>
      <c r="BF91" s="520"/>
      <c r="BG91" s="520"/>
      <c r="BH91" s="520"/>
      <c r="BI91" s="520"/>
      <c r="BJ91" s="520"/>
      <c r="BK91" s="520"/>
      <c r="BL91" s="520"/>
      <c r="BM91" s="520"/>
      <c r="BN91" s="520"/>
    </row>
    <row r="93" spans="20:66" ht="15.75" x14ac:dyDescent="0.25">
      <c r="X93" s="120"/>
      <c r="Y93" s="121"/>
      <c r="Z93" s="121"/>
      <c r="AA93" s="121"/>
      <c r="AB93" s="121"/>
      <c r="AC93" s="121"/>
      <c r="AD93" s="121"/>
      <c r="AE93" s="121"/>
      <c r="AF93" s="121"/>
      <c r="AG93" s="121"/>
      <c r="AH93" s="121"/>
      <c r="AI93" s="121"/>
      <c r="AJ93" s="121"/>
      <c r="AK93" s="121"/>
      <c r="AL93" s="121"/>
      <c r="AM93" s="121"/>
      <c r="AN93" s="121"/>
      <c r="AO93" s="121"/>
      <c r="AP93" s="121"/>
      <c r="AQ93" s="121"/>
      <c r="AR93" s="121"/>
      <c r="AS93" s="121"/>
      <c r="AT93" s="121"/>
      <c r="AU93" s="121"/>
      <c r="AV93" s="121"/>
      <c r="AW93" s="121"/>
      <c r="AX93" s="121"/>
      <c r="AY93" s="121"/>
      <c r="AZ93" s="121"/>
      <c r="BA93" s="121"/>
      <c r="BB93" s="121"/>
      <c r="BC93" s="121"/>
      <c r="BD93" s="121"/>
      <c r="BE93" s="121"/>
      <c r="BF93" s="121"/>
      <c r="BG93" s="121"/>
      <c r="BH93" s="121"/>
      <c r="BI93" s="121"/>
      <c r="BJ93" s="121"/>
      <c r="BK93" s="121"/>
      <c r="BL93" s="121"/>
      <c r="BM93" s="121"/>
      <c r="BN93" s="121"/>
    </row>
    <row r="94" spans="20:66" ht="15.75" x14ac:dyDescent="0.25">
      <c r="X94" s="120"/>
      <c r="Y94" s="60"/>
      <c r="Z94" s="60"/>
      <c r="AA94" s="60"/>
      <c r="AB94" s="60"/>
      <c r="AC94" s="60"/>
      <c r="AD94" s="60"/>
      <c r="AE94" s="60"/>
      <c r="AF94" s="60"/>
      <c r="AG94" s="60"/>
      <c r="AH94" s="60"/>
      <c r="AI94" s="60"/>
      <c r="AJ94" s="60"/>
      <c r="AK94" s="60"/>
      <c r="AL94" s="60"/>
      <c r="AM94" s="60"/>
      <c r="AN94" s="60"/>
      <c r="AO94" s="60"/>
      <c r="AP94" s="60"/>
      <c r="AQ94" s="60"/>
      <c r="AR94" s="60"/>
      <c r="AS94" s="60"/>
      <c r="AT94" s="60"/>
      <c r="AU94" s="60"/>
      <c r="AV94" s="60"/>
      <c r="AW94" s="60"/>
      <c r="AX94" s="60"/>
      <c r="AY94" s="60"/>
      <c r="AZ94" s="60"/>
      <c r="BA94" s="60"/>
      <c r="BB94" s="60"/>
      <c r="BC94" s="60"/>
      <c r="BD94" s="60"/>
      <c r="BE94" s="60"/>
      <c r="BF94" s="60"/>
      <c r="BG94" s="60"/>
      <c r="BH94" s="60"/>
      <c r="BI94" s="60"/>
      <c r="BJ94" s="60"/>
      <c r="BK94" s="60"/>
      <c r="BL94" s="60"/>
      <c r="BM94" s="60"/>
      <c r="BN94" s="60"/>
    </row>
    <row r="95" spans="20:66" ht="15.75" x14ac:dyDescent="0.25">
      <c r="X95" s="120"/>
      <c r="Y95" s="60"/>
      <c r="Z95" s="60"/>
      <c r="AA95" s="60"/>
      <c r="AB95" s="60"/>
      <c r="AC95" s="60"/>
      <c r="AD95" s="60"/>
      <c r="AE95" s="60"/>
      <c r="AF95" s="60"/>
      <c r="AG95" s="60"/>
      <c r="AH95" s="60"/>
      <c r="AI95" s="60"/>
      <c r="AJ95" s="60"/>
      <c r="AK95" s="60"/>
      <c r="AL95" s="60"/>
      <c r="AM95" s="60"/>
      <c r="AN95" s="60"/>
      <c r="AO95" s="60"/>
      <c r="AP95" s="60"/>
      <c r="AQ95" s="60"/>
      <c r="AR95" s="60"/>
      <c r="AS95" s="60"/>
      <c r="AT95" s="60"/>
      <c r="AU95" s="60"/>
      <c r="AV95" s="60"/>
      <c r="AW95" s="60"/>
      <c r="AX95" s="60"/>
      <c r="AY95" s="60"/>
      <c r="AZ95" s="60"/>
      <c r="BA95" s="60"/>
      <c r="BB95" s="60"/>
      <c r="BC95" s="60"/>
      <c r="BD95" s="60"/>
      <c r="BE95" s="60"/>
      <c r="BF95" s="60"/>
      <c r="BG95" s="60"/>
      <c r="BH95" s="60"/>
      <c r="BI95" s="60"/>
      <c r="BJ95" s="60"/>
      <c r="BK95" s="60"/>
      <c r="BL95" s="60"/>
      <c r="BM95" s="60"/>
      <c r="BN95" s="60"/>
    </row>
    <row r="96" spans="20:66" ht="15.75" x14ac:dyDescent="0.25">
      <c r="X96" s="120"/>
      <c r="Y96" s="60"/>
      <c r="Z96" s="60"/>
      <c r="AA96" s="60"/>
      <c r="AB96" s="60"/>
      <c r="AC96" s="60"/>
      <c r="AD96" s="60"/>
      <c r="AE96" s="60"/>
      <c r="AF96" s="60"/>
      <c r="AG96" s="60"/>
      <c r="AH96" s="60"/>
      <c r="AI96" s="60"/>
      <c r="AJ96" s="60"/>
      <c r="AK96" s="60"/>
      <c r="AL96" s="60"/>
      <c r="AM96" s="60"/>
      <c r="AN96" s="60"/>
      <c r="AO96" s="60"/>
      <c r="AP96" s="60"/>
      <c r="AQ96" s="60"/>
      <c r="AR96" s="60"/>
      <c r="AS96" s="60"/>
      <c r="AT96" s="60"/>
      <c r="AU96" s="60"/>
      <c r="AV96" s="60"/>
      <c r="AW96" s="60"/>
      <c r="AX96" s="60"/>
      <c r="AY96" s="60"/>
      <c r="AZ96" s="60"/>
      <c r="BA96" s="60"/>
      <c r="BB96" s="60"/>
      <c r="BC96" s="60"/>
      <c r="BD96" s="60"/>
      <c r="BE96" s="60"/>
      <c r="BF96" s="60"/>
      <c r="BG96" s="60"/>
      <c r="BH96" s="60"/>
      <c r="BI96" s="60"/>
      <c r="BJ96" s="60"/>
      <c r="BK96" s="60"/>
      <c r="BL96" s="60"/>
      <c r="BM96" s="60"/>
      <c r="BN96" s="60"/>
    </row>
    <row r="97" spans="20:66" ht="15.75" x14ac:dyDescent="0.25">
      <c r="X97" s="120"/>
      <c r="Y97" s="519"/>
      <c r="Z97" s="519"/>
      <c r="AA97" s="519"/>
      <c r="AB97" s="519"/>
      <c r="AC97" s="519"/>
      <c r="AD97" s="519"/>
      <c r="AE97" s="519"/>
      <c r="AF97" s="519"/>
      <c r="AG97" s="519"/>
      <c r="AH97" s="519"/>
      <c r="AI97" s="519"/>
      <c r="AJ97" s="519"/>
      <c r="AK97" s="519"/>
      <c r="AL97" s="519"/>
      <c r="AM97" s="519"/>
      <c r="AN97" s="519"/>
      <c r="AO97" s="519"/>
      <c r="AP97" s="519"/>
      <c r="AQ97" s="519"/>
      <c r="AR97" s="519"/>
      <c r="AS97" s="519"/>
      <c r="AT97" s="519"/>
      <c r="AU97" s="519"/>
      <c r="AV97" s="519"/>
      <c r="AW97" s="519"/>
      <c r="AX97" s="519"/>
      <c r="AY97" s="519"/>
      <c r="AZ97" s="519"/>
      <c r="BA97" s="519"/>
      <c r="BB97" s="519"/>
      <c r="BC97" s="519"/>
      <c r="BD97" s="519"/>
      <c r="BE97" s="519"/>
      <c r="BF97" s="519"/>
      <c r="BG97" s="519"/>
      <c r="BH97" s="519"/>
      <c r="BI97" s="519"/>
      <c r="BJ97" s="519"/>
      <c r="BK97" s="519"/>
      <c r="BL97" s="519"/>
      <c r="BM97" s="519"/>
      <c r="BN97" s="519"/>
    </row>
    <row r="98" spans="20:66" ht="15.75" x14ac:dyDescent="0.25">
      <c r="T98" s="166"/>
      <c r="U98" s="166"/>
      <c r="W98" s="124"/>
      <c r="X98" s="120"/>
      <c r="Y98" s="519"/>
      <c r="Z98" s="519"/>
      <c r="AA98" s="519"/>
      <c r="AB98" s="519"/>
      <c r="AC98" s="519"/>
      <c r="AD98" s="519"/>
      <c r="AE98" s="519"/>
      <c r="AF98" s="519"/>
      <c r="AG98" s="519"/>
      <c r="AH98" s="519"/>
      <c r="AI98" s="519"/>
      <c r="AJ98" s="519"/>
      <c r="AK98" s="519"/>
      <c r="AL98" s="519"/>
      <c r="AM98" s="519"/>
      <c r="AN98" s="519"/>
      <c r="AO98" s="519"/>
      <c r="AP98" s="519"/>
      <c r="AQ98" s="519"/>
      <c r="AR98" s="519"/>
      <c r="AS98" s="519"/>
      <c r="AT98" s="519"/>
      <c r="AU98" s="519"/>
      <c r="AV98" s="519"/>
      <c r="AW98" s="519"/>
      <c r="AX98" s="519"/>
      <c r="AY98" s="519"/>
      <c r="AZ98" s="519"/>
      <c r="BA98" s="519"/>
      <c r="BB98" s="519"/>
      <c r="BC98" s="519"/>
      <c r="BD98" s="519"/>
      <c r="BE98" s="519"/>
      <c r="BF98" s="519"/>
      <c r="BG98" s="519"/>
      <c r="BH98" s="519"/>
      <c r="BI98" s="519"/>
      <c r="BJ98" s="519"/>
      <c r="BK98" s="519"/>
      <c r="BL98" s="519"/>
      <c r="BM98" s="519"/>
      <c r="BN98" s="519"/>
    </row>
    <row r="99" spans="20:66" ht="15.75" x14ac:dyDescent="0.25">
      <c r="T99" s="166"/>
      <c r="U99" s="166"/>
      <c r="W99" s="124"/>
      <c r="X99" s="120"/>
      <c r="Y99" s="519"/>
      <c r="Z99" s="519"/>
      <c r="AA99" s="519"/>
      <c r="AB99" s="519"/>
      <c r="AC99" s="519"/>
      <c r="AD99" s="519"/>
      <c r="AE99" s="519"/>
      <c r="AF99" s="519"/>
      <c r="AG99" s="519"/>
      <c r="AH99" s="519"/>
      <c r="AI99" s="519"/>
      <c r="AJ99" s="519"/>
      <c r="AK99" s="519"/>
      <c r="AL99" s="519"/>
      <c r="AM99" s="519"/>
      <c r="AN99" s="519"/>
      <c r="AO99" s="519"/>
      <c r="AP99" s="519"/>
      <c r="AQ99" s="519"/>
      <c r="AR99" s="519"/>
      <c r="AS99" s="519"/>
      <c r="AT99" s="519"/>
      <c r="AU99" s="519"/>
      <c r="AV99" s="519"/>
      <c r="AW99" s="519"/>
      <c r="AX99" s="519"/>
      <c r="AY99" s="519"/>
      <c r="AZ99" s="519"/>
      <c r="BA99" s="519"/>
      <c r="BB99" s="519"/>
      <c r="BC99" s="519"/>
      <c r="BD99" s="519"/>
      <c r="BE99" s="519"/>
      <c r="BF99" s="519"/>
      <c r="BG99" s="519"/>
      <c r="BH99" s="519"/>
      <c r="BI99" s="519"/>
      <c r="BJ99" s="519"/>
      <c r="BK99" s="519"/>
      <c r="BL99" s="519"/>
      <c r="BM99" s="519"/>
      <c r="BN99" s="519"/>
    </row>
    <row r="100" spans="20:66" ht="15.75" x14ac:dyDescent="0.25">
      <c r="X100" s="120"/>
      <c r="Y100" s="60"/>
      <c r="Z100" s="60"/>
      <c r="AA100" s="60"/>
      <c r="AB100" s="60"/>
      <c r="AC100" s="60"/>
      <c r="AD100" s="60"/>
      <c r="AE100" s="60"/>
      <c r="AF100" s="60"/>
      <c r="AG100" s="60"/>
      <c r="AH100" s="60"/>
      <c r="AI100" s="60"/>
      <c r="AJ100" s="60"/>
      <c r="AK100" s="60"/>
      <c r="AL100" s="60"/>
      <c r="AM100" s="60"/>
      <c r="AN100" s="60"/>
      <c r="AO100" s="60"/>
      <c r="AP100" s="60"/>
      <c r="AQ100" s="60"/>
      <c r="AR100" s="60"/>
      <c r="AS100" s="60"/>
      <c r="AT100" s="60"/>
      <c r="AU100" s="60"/>
      <c r="AV100" s="60"/>
      <c r="AW100" s="60"/>
      <c r="AX100" s="60"/>
      <c r="AY100" s="60"/>
      <c r="AZ100" s="60"/>
      <c r="BA100" s="60"/>
      <c r="BB100" s="60"/>
      <c r="BC100" s="60"/>
      <c r="BD100" s="60"/>
      <c r="BE100" s="60"/>
      <c r="BF100" s="60"/>
      <c r="BG100" s="60"/>
      <c r="BH100" s="60"/>
      <c r="BI100" s="60"/>
      <c r="BJ100" s="60"/>
      <c r="BK100" s="60"/>
      <c r="BL100" s="60"/>
      <c r="BM100" s="60"/>
      <c r="BN100" s="60"/>
    </row>
    <row r="101" spans="20:66" ht="15.75" x14ac:dyDescent="0.25">
      <c r="X101" s="120"/>
      <c r="Y101" s="519"/>
      <c r="Z101" s="519"/>
      <c r="AA101" s="519"/>
      <c r="AB101" s="519"/>
      <c r="AC101" s="519"/>
      <c r="AD101" s="519"/>
      <c r="AE101" s="519"/>
      <c r="AF101" s="519"/>
      <c r="AG101" s="519"/>
      <c r="AH101" s="519"/>
      <c r="AI101" s="519"/>
      <c r="AJ101" s="519"/>
      <c r="AK101" s="519"/>
      <c r="AL101" s="519"/>
      <c r="AM101" s="519"/>
      <c r="AN101" s="519"/>
      <c r="AO101" s="519"/>
      <c r="AP101" s="519"/>
      <c r="AQ101" s="519"/>
      <c r="AR101" s="519"/>
      <c r="AS101" s="519"/>
      <c r="AT101" s="519"/>
      <c r="AU101" s="519"/>
      <c r="AV101" s="519"/>
      <c r="AW101" s="519"/>
      <c r="AX101" s="519"/>
      <c r="AY101" s="519"/>
      <c r="AZ101" s="519"/>
      <c r="BA101" s="519"/>
      <c r="BB101" s="519"/>
      <c r="BC101" s="519"/>
      <c r="BD101" s="519"/>
      <c r="BE101" s="519"/>
      <c r="BF101" s="519"/>
      <c r="BG101" s="519"/>
      <c r="BH101" s="519"/>
      <c r="BI101" s="519"/>
      <c r="BJ101" s="519"/>
      <c r="BK101" s="519"/>
      <c r="BL101" s="519"/>
      <c r="BM101" s="519"/>
      <c r="BN101" s="519"/>
    </row>
    <row r="102" spans="20:66" ht="15.75" x14ac:dyDescent="0.25">
      <c r="X102" s="120"/>
      <c r="Y102" s="519"/>
      <c r="Z102" s="519"/>
      <c r="AA102" s="519"/>
      <c r="AB102" s="519"/>
      <c r="AC102" s="519"/>
      <c r="AD102" s="519"/>
      <c r="AE102" s="519"/>
      <c r="AF102" s="519"/>
      <c r="AG102" s="519"/>
      <c r="AH102" s="519"/>
      <c r="AI102" s="519"/>
      <c r="AJ102" s="519"/>
      <c r="AK102" s="519"/>
      <c r="AL102" s="519"/>
      <c r="AM102" s="519"/>
      <c r="AN102" s="519"/>
      <c r="AO102" s="519"/>
      <c r="AP102" s="519"/>
      <c r="AQ102" s="519"/>
      <c r="AR102" s="519"/>
      <c r="AS102" s="519"/>
      <c r="AT102" s="519"/>
      <c r="AU102" s="519"/>
      <c r="AV102" s="519"/>
      <c r="AW102" s="519"/>
      <c r="AX102" s="519"/>
      <c r="AY102" s="519"/>
      <c r="AZ102" s="519"/>
      <c r="BA102" s="519"/>
      <c r="BB102" s="519"/>
      <c r="BC102" s="519"/>
      <c r="BD102" s="519"/>
      <c r="BE102" s="519"/>
      <c r="BF102" s="519"/>
      <c r="BG102" s="519"/>
      <c r="BH102" s="519"/>
      <c r="BI102" s="519"/>
      <c r="BJ102" s="519"/>
      <c r="BK102" s="519"/>
      <c r="BL102" s="519"/>
      <c r="BM102" s="519"/>
      <c r="BN102" s="519"/>
    </row>
    <row r="103" spans="20:66" ht="15.75" x14ac:dyDescent="0.25">
      <c r="X103" s="120"/>
      <c r="Y103" s="519"/>
      <c r="Z103" s="519"/>
      <c r="AA103" s="519"/>
      <c r="AB103" s="519"/>
      <c r="AC103" s="519"/>
      <c r="AD103" s="519"/>
      <c r="AE103" s="519"/>
      <c r="AF103" s="519"/>
      <c r="AG103" s="519"/>
      <c r="AH103" s="519"/>
      <c r="AI103" s="519"/>
      <c r="AJ103" s="519"/>
      <c r="AK103" s="519"/>
      <c r="AL103" s="519"/>
      <c r="AM103" s="519"/>
      <c r="AN103" s="519"/>
      <c r="AO103" s="519"/>
      <c r="AP103" s="519"/>
      <c r="AQ103" s="519"/>
      <c r="AR103" s="519"/>
      <c r="AS103" s="519"/>
      <c r="AT103" s="519"/>
      <c r="AU103" s="519"/>
      <c r="AV103" s="519"/>
      <c r="AW103" s="519"/>
      <c r="AX103" s="519"/>
      <c r="AY103" s="519"/>
      <c r="AZ103" s="519"/>
      <c r="BA103" s="519"/>
      <c r="BB103" s="519"/>
      <c r="BC103" s="519"/>
      <c r="BD103" s="519"/>
      <c r="BE103" s="519"/>
      <c r="BF103" s="519"/>
      <c r="BG103" s="519"/>
      <c r="BH103" s="519"/>
      <c r="BI103" s="519"/>
      <c r="BJ103" s="519"/>
      <c r="BK103" s="519"/>
      <c r="BL103" s="519"/>
      <c r="BM103" s="519"/>
      <c r="BN103" s="519"/>
    </row>
    <row r="104" spans="20:66" ht="15.75" x14ac:dyDescent="0.25">
      <c r="X104" s="120"/>
      <c r="Y104" s="519"/>
      <c r="Z104" s="519"/>
      <c r="AA104" s="519"/>
      <c r="AB104" s="519"/>
      <c r="AC104" s="519"/>
      <c r="AD104" s="519"/>
      <c r="AE104" s="519"/>
      <c r="AF104" s="519"/>
      <c r="AG104" s="519"/>
      <c r="AH104" s="519"/>
      <c r="AI104" s="519"/>
      <c r="AJ104" s="519"/>
      <c r="AK104" s="519"/>
      <c r="AL104" s="519"/>
      <c r="AM104" s="519"/>
      <c r="AN104" s="519"/>
      <c r="AO104" s="519"/>
      <c r="AP104" s="519"/>
      <c r="AQ104" s="519"/>
      <c r="AR104" s="519"/>
      <c r="AS104" s="519"/>
      <c r="AT104" s="519"/>
      <c r="AU104" s="519"/>
      <c r="AV104" s="519"/>
      <c r="AW104" s="519"/>
      <c r="AX104" s="519"/>
      <c r="AY104" s="519"/>
      <c r="AZ104" s="519"/>
      <c r="BA104" s="519"/>
      <c r="BB104" s="519"/>
      <c r="BC104" s="519"/>
      <c r="BD104" s="519"/>
      <c r="BE104" s="519"/>
      <c r="BF104" s="519"/>
      <c r="BG104" s="519"/>
      <c r="BH104" s="519"/>
      <c r="BI104" s="519"/>
      <c r="BJ104" s="519"/>
      <c r="BK104" s="519"/>
      <c r="BL104" s="519"/>
      <c r="BM104" s="519"/>
      <c r="BN104" s="519"/>
    </row>
    <row r="105" spans="20:66" ht="15.75" x14ac:dyDescent="0.25">
      <c r="X105" s="120"/>
      <c r="Y105" s="519"/>
      <c r="Z105" s="519"/>
      <c r="AA105" s="519"/>
      <c r="AB105" s="519"/>
      <c r="AC105" s="519"/>
      <c r="AD105" s="519"/>
      <c r="AE105" s="519"/>
      <c r="AF105" s="519"/>
      <c r="AG105" s="519"/>
      <c r="AH105" s="519"/>
      <c r="AI105" s="519"/>
      <c r="AJ105" s="519"/>
      <c r="AK105" s="519"/>
      <c r="AL105" s="519"/>
      <c r="AM105" s="519"/>
      <c r="AN105" s="519"/>
      <c r="AO105" s="519"/>
      <c r="AP105" s="519"/>
      <c r="AQ105" s="519"/>
      <c r="AR105" s="519"/>
      <c r="AS105" s="519"/>
      <c r="AT105" s="519"/>
      <c r="AU105" s="519"/>
      <c r="AV105" s="519"/>
      <c r="AW105" s="519"/>
      <c r="AX105" s="519"/>
      <c r="AY105" s="519"/>
      <c r="AZ105" s="519"/>
      <c r="BA105" s="519"/>
      <c r="BB105" s="519"/>
      <c r="BC105" s="519"/>
      <c r="BD105" s="519"/>
      <c r="BE105" s="519"/>
      <c r="BF105" s="519"/>
      <c r="BG105" s="519"/>
      <c r="BH105" s="519"/>
      <c r="BI105" s="519"/>
      <c r="BJ105" s="519"/>
      <c r="BK105" s="519"/>
      <c r="BL105" s="519"/>
      <c r="BM105" s="519"/>
      <c r="BN105" s="519"/>
    </row>
    <row r="106" spans="20:66" ht="15.75" x14ac:dyDescent="0.25">
      <c r="X106" s="120"/>
      <c r="Y106" s="519"/>
      <c r="Z106" s="519"/>
      <c r="AA106" s="519"/>
      <c r="AB106" s="519"/>
      <c r="AC106" s="519"/>
      <c r="AD106" s="519"/>
      <c r="AE106" s="519"/>
      <c r="AF106" s="519"/>
      <c r="AG106" s="519"/>
      <c r="AH106" s="519"/>
      <c r="AI106" s="519"/>
      <c r="AJ106" s="519"/>
      <c r="AK106" s="519"/>
      <c r="AL106" s="519"/>
      <c r="AM106" s="519"/>
      <c r="AN106" s="519"/>
      <c r="AO106" s="519"/>
      <c r="AP106" s="519"/>
      <c r="AQ106" s="519"/>
      <c r="AR106" s="519"/>
      <c r="AS106" s="519"/>
      <c r="AT106" s="519"/>
      <c r="AU106" s="519"/>
      <c r="AV106" s="519"/>
      <c r="AW106" s="519"/>
      <c r="AX106" s="519"/>
      <c r="AY106" s="519"/>
      <c r="AZ106" s="519"/>
      <c r="BA106" s="519"/>
      <c r="BB106" s="519"/>
      <c r="BC106" s="519"/>
      <c r="BD106" s="519"/>
      <c r="BE106" s="519"/>
      <c r="BF106" s="519"/>
      <c r="BG106" s="519"/>
      <c r="BH106" s="519"/>
      <c r="BI106" s="519"/>
      <c r="BJ106" s="519"/>
      <c r="BK106" s="519"/>
      <c r="BL106" s="519"/>
      <c r="BM106" s="519"/>
      <c r="BN106" s="519"/>
    </row>
    <row r="107" spans="20:66" ht="15.75" x14ac:dyDescent="0.25">
      <c r="X107" s="120"/>
      <c r="Y107" s="519"/>
      <c r="Z107" s="519"/>
      <c r="AA107" s="519"/>
      <c r="AB107" s="519"/>
      <c r="AC107" s="519"/>
      <c r="AD107" s="519"/>
      <c r="AE107" s="519"/>
      <c r="AF107" s="519"/>
      <c r="AG107" s="519"/>
      <c r="AH107" s="519"/>
      <c r="AI107" s="519"/>
      <c r="AJ107" s="519"/>
      <c r="AK107" s="519"/>
      <c r="AL107" s="519"/>
      <c r="AM107" s="519"/>
      <c r="AN107" s="519"/>
      <c r="AO107" s="519"/>
      <c r="AP107" s="519"/>
      <c r="AQ107" s="519"/>
      <c r="AR107" s="519"/>
      <c r="AS107" s="519"/>
      <c r="AT107" s="519"/>
      <c r="AU107" s="519"/>
      <c r="AV107" s="519"/>
      <c r="AW107" s="519"/>
      <c r="AX107" s="519"/>
      <c r="AY107" s="519"/>
      <c r="AZ107" s="519"/>
      <c r="BA107" s="519"/>
      <c r="BB107" s="519"/>
      <c r="BC107" s="519"/>
      <c r="BD107" s="519"/>
      <c r="BE107" s="519"/>
      <c r="BF107" s="519"/>
      <c r="BG107" s="519"/>
      <c r="BH107" s="519"/>
      <c r="BI107" s="519"/>
      <c r="BJ107" s="519"/>
      <c r="BK107" s="519"/>
      <c r="BL107" s="519"/>
      <c r="BM107" s="519"/>
      <c r="BN107" s="519"/>
    </row>
    <row r="108" spans="20:66" ht="15.75" x14ac:dyDescent="0.25">
      <c r="X108" s="120"/>
      <c r="Y108" s="519"/>
      <c r="Z108" s="519"/>
      <c r="AA108" s="519"/>
      <c r="AB108" s="519"/>
      <c r="AC108" s="519"/>
      <c r="AD108" s="519"/>
      <c r="AE108" s="519"/>
      <c r="AF108" s="519"/>
      <c r="AG108" s="519"/>
      <c r="AH108" s="519"/>
      <c r="AI108" s="519"/>
      <c r="AJ108" s="519"/>
      <c r="AK108" s="519"/>
      <c r="AL108" s="519"/>
      <c r="AM108" s="519"/>
      <c r="AN108" s="519"/>
      <c r="AO108" s="519"/>
      <c r="AP108" s="519"/>
      <c r="AQ108" s="519"/>
      <c r="AR108" s="519"/>
      <c r="AS108" s="519"/>
      <c r="AT108" s="519"/>
      <c r="AU108" s="519"/>
      <c r="AV108" s="519"/>
      <c r="AW108" s="519"/>
      <c r="AX108" s="519"/>
      <c r="AY108" s="519"/>
      <c r="AZ108" s="519"/>
      <c r="BA108" s="519"/>
      <c r="BB108" s="519"/>
      <c r="BC108" s="519"/>
      <c r="BD108" s="519"/>
      <c r="BE108" s="519"/>
      <c r="BF108" s="519"/>
      <c r="BG108" s="519"/>
      <c r="BH108" s="519"/>
      <c r="BI108" s="519"/>
      <c r="BJ108" s="519"/>
      <c r="BK108" s="519"/>
      <c r="BL108" s="519"/>
      <c r="BM108" s="519"/>
      <c r="BN108" s="519"/>
    </row>
    <row r="109" spans="20:66" ht="15.75" x14ac:dyDescent="0.25">
      <c r="X109" s="120"/>
      <c r="Y109" s="519"/>
      <c r="Z109" s="519"/>
      <c r="AA109" s="519"/>
      <c r="AB109" s="519"/>
      <c r="AC109" s="519"/>
      <c r="AD109" s="519"/>
      <c r="AE109" s="519"/>
      <c r="AF109" s="519"/>
      <c r="AG109" s="519"/>
      <c r="AH109" s="519"/>
      <c r="AI109" s="519"/>
      <c r="AJ109" s="519"/>
      <c r="AK109" s="519"/>
      <c r="AL109" s="519"/>
      <c r="AM109" s="519"/>
      <c r="AN109" s="519"/>
      <c r="AO109" s="519"/>
      <c r="AP109" s="519"/>
      <c r="AQ109" s="519"/>
      <c r="AR109" s="519"/>
      <c r="AS109" s="519"/>
      <c r="AT109" s="519"/>
      <c r="AU109" s="519"/>
      <c r="AV109" s="519"/>
      <c r="AW109" s="519"/>
      <c r="AX109" s="519"/>
      <c r="AY109" s="519"/>
      <c r="AZ109" s="519"/>
      <c r="BA109" s="519"/>
      <c r="BB109" s="519"/>
      <c r="BC109" s="519"/>
      <c r="BD109" s="519"/>
      <c r="BE109" s="519"/>
      <c r="BF109" s="519"/>
      <c r="BG109" s="519"/>
      <c r="BH109" s="519"/>
      <c r="BI109" s="519"/>
      <c r="BJ109" s="519"/>
      <c r="BK109" s="519"/>
      <c r="BL109" s="519"/>
      <c r="BM109" s="519"/>
      <c r="BN109" s="519"/>
    </row>
    <row r="110" spans="20:66" ht="15.75" x14ac:dyDescent="0.25">
      <c r="X110" s="120"/>
      <c r="Y110" s="519"/>
      <c r="Z110" s="519"/>
      <c r="AA110" s="519"/>
      <c r="AB110" s="519"/>
      <c r="AC110" s="519"/>
      <c r="AD110" s="519"/>
      <c r="AE110" s="519"/>
      <c r="AF110" s="519"/>
      <c r="AG110" s="519"/>
      <c r="AH110" s="519"/>
      <c r="AI110" s="519"/>
      <c r="AJ110" s="519"/>
      <c r="AK110" s="519"/>
      <c r="AL110" s="519"/>
      <c r="AM110" s="519"/>
      <c r="AN110" s="519"/>
      <c r="AO110" s="519"/>
      <c r="AP110" s="519"/>
      <c r="AQ110" s="519"/>
      <c r="AR110" s="519"/>
      <c r="AS110" s="519"/>
      <c r="AT110" s="519"/>
      <c r="AU110" s="519"/>
      <c r="AV110" s="519"/>
      <c r="AW110" s="519"/>
      <c r="AX110" s="519"/>
      <c r="AY110" s="519"/>
      <c r="AZ110" s="519"/>
      <c r="BA110" s="519"/>
      <c r="BB110" s="519"/>
      <c r="BC110" s="519"/>
      <c r="BD110" s="519"/>
      <c r="BE110" s="519"/>
      <c r="BF110" s="519"/>
      <c r="BG110" s="519"/>
      <c r="BH110" s="519"/>
      <c r="BI110" s="519"/>
      <c r="BJ110" s="519"/>
      <c r="BK110" s="519"/>
      <c r="BL110" s="519"/>
      <c r="BM110" s="519"/>
      <c r="BN110" s="519"/>
    </row>
    <row r="111" spans="20:66" ht="15.75" x14ac:dyDescent="0.25">
      <c r="X111" s="120"/>
      <c r="Y111" s="519"/>
      <c r="Z111" s="519"/>
      <c r="AA111" s="519"/>
      <c r="AB111" s="519"/>
      <c r="AC111" s="519"/>
      <c r="AD111" s="519"/>
      <c r="AE111" s="519"/>
      <c r="AF111" s="519"/>
      <c r="AG111" s="519"/>
      <c r="AH111" s="519"/>
      <c r="AI111" s="519"/>
      <c r="AJ111" s="519"/>
      <c r="AK111" s="519"/>
      <c r="AL111" s="519"/>
      <c r="AM111" s="519"/>
      <c r="AN111" s="519"/>
      <c r="AO111" s="519"/>
      <c r="AP111" s="519"/>
      <c r="AQ111" s="519"/>
      <c r="AR111" s="519"/>
      <c r="AS111" s="519"/>
      <c r="AT111" s="519"/>
      <c r="AU111" s="519"/>
      <c r="AV111" s="519"/>
      <c r="AW111" s="519"/>
      <c r="AX111" s="519"/>
      <c r="AY111" s="519"/>
      <c r="AZ111" s="519"/>
      <c r="BA111" s="519"/>
      <c r="BB111" s="519"/>
      <c r="BC111" s="519"/>
      <c r="BD111" s="519"/>
      <c r="BE111" s="519"/>
      <c r="BF111" s="519"/>
      <c r="BG111" s="519"/>
      <c r="BH111" s="519"/>
      <c r="BI111" s="519"/>
      <c r="BJ111" s="519"/>
      <c r="BK111" s="519"/>
      <c r="BL111" s="519"/>
      <c r="BM111" s="519"/>
      <c r="BN111" s="519"/>
    </row>
    <row r="112" spans="20:66" ht="15.75" x14ac:dyDescent="0.25">
      <c r="X112" s="120"/>
      <c r="Y112" s="519"/>
      <c r="Z112" s="519"/>
      <c r="AA112" s="519"/>
      <c r="AB112" s="519"/>
      <c r="AC112" s="519"/>
      <c r="AD112" s="519"/>
      <c r="AE112" s="519"/>
      <c r="AF112" s="519"/>
      <c r="AG112" s="519"/>
      <c r="AH112" s="519"/>
      <c r="AI112" s="519"/>
      <c r="AJ112" s="519"/>
      <c r="AK112" s="519"/>
      <c r="AL112" s="519"/>
      <c r="AM112" s="519"/>
      <c r="AN112" s="519"/>
      <c r="AO112" s="519"/>
      <c r="AP112" s="519"/>
      <c r="AQ112" s="519"/>
      <c r="AR112" s="519"/>
      <c r="AS112" s="519"/>
      <c r="AT112" s="519"/>
      <c r="AU112" s="519"/>
      <c r="AV112" s="519"/>
      <c r="AW112" s="519"/>
      <c r="AX112" s="519"/>
      <c r="AY112" s="519"/>
      <c r="AZ112" s="519"/>
      <c r="BA112" s="519"/>
      <c r="BB112" s="519"/>
      <c r="BC112" s="519"/>
      <c r="BD112" s="519"/>
      <c r="BE112" s="519"/>
      <c r="BF112" s="519"/>
      <c r="BG112" s="519"/>
      <c r="BH112" s="519"/>
      <c r="BI112" s="519"/>
      <c r="BJ112" s="519"/>
      <c r="BK112" s="519"/>
      <c r="BL112" s="519"/>
      <c r="BM112" s="519"/>
      <c r="BN112" s="519"/>
    </row>
    <row r="113" spans="24:66" ht="15.75" x14ac:dyDescent="0.25">
      <c r="X113" s="120"/>
      <c r="Y113" s="519"/>
      <c r="Z113" s="519"/>
      <c r="AA113" s="519"/>
      <c r="AB113" s="519"/>
      <c r="AC113" s="519"/>
      <c r="AD113" s="519"/>
      <c r="AE113" s="519"/>
      <c r="AF113" s="519"/>
      <c r="AG113" s="519"/>
      <c r="AH113" s="519"/>
      <c r="AI113" s="519"/>
      <c r="AJ113" s="519"/>
      <c r="AK113" s="519"/>
      <c r="AL113" s="519"/>
      <c r="AM113" s="519"/>
      <c r="AN113" s="519"/>
      <c r="AO113" s="519"/>
      <c r="AP113" s="519"/>
      <c r="AQ113" s="519"/>
      <c r="AR113" s="519"/>
      <c r="AS113" s="519"/>
      <c r="AT113" s="519"/>
      <c r="AU113" s="519"/>
      <c r="AV113" s="519"/>
      <c r="AW113" s="519"/>
      <c r="AX113" s="519"/>
      <c r="AY113" s="519"/>
      <c r="AZ113" s="519"/>
      <c r="BA113" s="519"/>
      <c r="BB113" s="519"/>
      <c r="BC113" s="519"/>
      <c r="BD113" s="519"/>
      <c r="BE113" s="519"/>
      <c r="BF113" s="519"/>
      <c r="BG113" s="519"/>
      <c r="BH113" s="519"/>
      <c r="BI113" s="519"/>
      <c r="BJ113" s="519"/>
      <c r="BK113" s="519"/>
      <c r="BL113" s="519"/>
      <c r="BM113" s="519"/>
      <c r="BN113" s="519"/>
    </row>
  </sheetData>
  <sheetProtection sheet="1" formatCells="0" formatColumns="0" formatRows="0" selectLockedCells="1"/>
  <mergeCells count="38">
    <mergeCell ref="A5:P5"/>
    <mergeCell ref="R5:BA5"/>
    <mergeCell ref="BC5:BG6"/>
    <mergeCell ref="BI5:BM6"/>
    <mergeCell ref="A6:A7"/>
    <mergeCell ref="R6:R7"/>
    <mergeCell ref="S6:S7"/>
    <mergeCell ref="T6:Y6"/>
    <mergeCell ref="B6:B7"/>
    <mergeCell ref="C6:C7"/>
    <mergeCell ref="D6:F6"/>
    <mergeCell ref="G6:I6"/>
    <mergeCell ref="J6:J7"/>
    <mergeCell ref="K6:K7"/>
    <mergeCell ref="N33:N34"/>
    <mergeCell ref="P33:P34"/>
    <mergeCell ref="L6:L7"/>
    <mergeCell ref="M6:N6"/>
    <mergeCell ref="O6:P6"/>
    <mergeCell ref="W52:X52"/>
    <mergeCell ref="AA6:AF6"/>
    <mergeCell ref="AH6:AM6"/>
    <mergeCell ref="AO6:AT6"/>
    <mergeCell ref="AV6:BA6"/>
    <mergeCell ref="A36:B38"/>
    <mergeCell ref="C36:P38"/>
    <mergeCell ref="A40:B43"/>
    <mergeCell ref="C40:P42"/>
    <mergeCell ref="C43:P43"/>
    <mergeCell ref="R1:S3"/>
    <mergeCell ref="A1:B3"/>
    <mergeCell ref="M1:N3"/>
    <mergeCell ref="BC1:BM4"/>
    <mergeCell ref="H1:I1"/>
    <mergeCell ref="H2:I2"/>
    <mergeCell ref="A4:P4"/>
    <mergeCell ref="R4:BA4"/>
    <mergeCell ref="T1:BA3"/>
  </mergeCells>
  <dataValidations count="2">
    <dataValidation type="list" allowBlank="1" sqref="C8:C31" xr:uid="{00000000-0002-0000-0800-000000000000}">
      <formula1>BO$7:BO$21</formula1>
    </dataValidation>
    <dataValidation type="list" allowBlank="1" sqref="J8:J31" xr:uid="{00000000-0002-0000-0800-000001000000}">
      <formula1>"0,10,20,30,40,50,60,70,80,90,Reinbestand"</formula1>
    </dataValidation>
  </dataValidations>
  <pageMargins left="0.31496062992125984" right="0.31496062992125984" top="0.31496062992125984" bottom="0.15748031496062992" header="0.31496062992125984" footer="0.31496062992125984"/>
  <pageSetup paperSize="9" scale="61" fitToHeight="0" orientation="landscape" r:id="rId1"/>
  <rowBreaks count="1" manualBreakCount="1">
    <brk id="32" max="52" man="1"/>
  </rowBreaks>
  <colBreaks count="1" manualBreakCount="1">
    <brk id="16" max="31"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2000000}">
          <x14:formula1>
            <xm:f>Düngemittel!$B$6:$B$64</xm:f>
          </x14:formula1>
          <xm:sqref>U8:U31 AP8:AP31 AB8:AB31 AI8:AI31 AW8:AW31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sheetPr>
  <dimension ref="A1:BK125"/>
  <sheetViews>
    <sheetView zoomScale="80" zoomScaleNormal="80" workbookViewId="0">
      <selection activeCell="A10" sqref="A10"/>
    </sheetView>
  </sheetViews>
  <sheetFormatPr baseColWidth="10" defaultRowHeight="15" x14ac:dyDescent="0.25"/>
  <cols>
    <col min="1" max="1" width="20.85546875" style="112" customWidth="1"/>
    <col min="2" max="2" width="8" style="80" customWidth="1"/>
    <col min="3" max="3" width="11.85546875" style="80" customWidth="1"/>
    <col min="4" max="4" width="15.7109375" style="112" customWidth="1"/>
    <col min="5" max="5" width="4.7109375" style="80" customWidth="1"/>
    <col min="6" max="6" width="32.7109375" style="80" customWidth="1"/>
    <col min="7" max="7" width="4.85546875" style="80" customWidth="1"/>
    <col min="8" max="8" width="17.5703125" style="80" customWidth="1"/>
    <col min="9" max="9" width="4.42578125" style="80" customWidth="1"/>
    <col min="10" max="10" width="58.140625" style="80" customWidth="1"/>
    <col min="11" max="11" width="12" style="80" customWidth="1"/>
    <col min="12" max="12" width="6.140625" style="80" customWidth="1"/>
    <col min="13" max="13" width="13.7109375" style="80" customWidth="1"/>
    <col min="14" max="14" width="8" style="80" customWidth="1"/>
    <col min="15" max="15" width="10.140625" style="80" customWidth="1"/>
    <col min="16" max="16" width="8.140625" style="80" customWidth="1"/>
    <col min="17" max="17" width="9.5703125" style="80" customWidth="1"/>
    <col min="18" max="18" width="4.140625" style="80" customWidth="1"/>
    <col min="19" max="19" width="19.7109375" style="80" customWidth="1"/>
    <col min="20" max="20" width="1.140625" style="80" customWidth="1"/>
    <col min="21" max="21" width="9.85546875" style="80" customWidth="1"/>
    <col min="22" max="22" width="13.140625" style="80" customWidth="1"/>
    <col min="23" max="23" width="6.28515625" style="80" customWidth="1"/>
    <col min="24" max="26" width="6.7109375" style="80" customWidth="1"/>
    <col min="27" max="27" width="1.140625" style="80" customWidth="1"/>
    <col min="28" max="28" width="9.42578125" style="80" customWidth="1"/>
    <col min="29" max="29" width="13.140625" style="80" customWidth="1"/>
    <col min="30" max="30" width="6.28515625" style="80" customWidth="1"/>
    <col min="31" max="33" width="6.5703125" style="80" customWidth="1"/>
    <col min="34" max="34" width="1.140625" style="80" customWidth="1"/>
    <col min="35" max="35" width="9.42578125" style="80" customWidth="1"/>
    <col min="36" max="36" width="13.28515625" style="80" customWidth="1"/>
    <col min="37" max="40" width="6.5703125" style="80" customWidth="1"/>
    <col min="41" max="41" width="1.5703125" style="80" customWidth="1"/>
    <col min="42" max="42" width="7" style="80" customWidth="1"/>
    <col min="43" max="44" width="5" style="80" customWidth="1"/>
    <col min="45" max="45" width="7.42578125" style="80" customWidth="1"/>
    <col min="46" max="46" width="5.7109375" style="80" customWidth="1"/>
    <col min="47" max="47" width="1.140625" style="80" customWidth="1"/>
    <col min="48" max="48" width="7" style="80" customWidth="1"/>
    <col min="49" max="49" width="6.140625" style="80" customWidth="1"/>
    <col min="50" max="50" width="6" style="80" customWidth="1"/>
    <col min="51" max="51" width="7.28515625" style="80" customWidth="1"/>
    <col min="52" max="52" width="6.85546875" style="80" customWidth="1"/>
    <col min="53" max="53" width="12.28515625" style="80" customWidth="1"/>
    <col min="54" max="54" width="11.42578125" style="80" customWidth="1"/>
    <col min="55" max="55" width="9.7109375" style="80" customWidth="1"/>
    <col min="56" max="56" width="32.28515625" style="80" customWidth="1"/>
    <col min="57" max="57" width="8" style="80" customWidth="1"/>
    <col min="58" max="58" width="4.7109375" style="80" customWidth="1"/>
    <col min="59" max="59" width="11.42578125" style="80"/>
    <col min="60" max="60" width="8.140625" style="80" customWidth="1"/>
    <col min="61" max="61" width="3.28515625" style="80" customWidth="1"/>
    <col min="62" max="62" width="73.42578125" style="80" customWidth="1"/>
    <col min="63" max="16384" width="11.42578125" style="80"/>
  </cols>
  <sheetData>
    <row r="1" spans="1:63" ht="15.75" customHeight="1" x14ac:dyDescent="0.25">
      <c r="A1" s="269"/>
      <c r="B1" s="270"/>
      <c r="C1" s="112" t="str">
        <f>'DüV-N-Ackerbau (1)'!C1</f>
        <v>Testbetrieb</v>
      </c>
      <c r="D1" s="396"/>
      <c r="E1" s="448"/>
      <c r="F1" s="112" t="str">
        <f>'DüV-N-Ackerbau (1)'!F1</f>
        <v>Erntejahr</v>
      </c>
      <c r="G1" s="448"/>
      <c r="H1" s="448"/>
      <c r="I1" s="448"/>
      <c r="J1" s="448"/>
      <c r="K1" s="448"/>
      <c r="L1" s="448"/>
      <c r="M1" s="448"/>
      <c r="N1" s="448"/>
      <c r="O1" s="448"/>
      <c r="P1" s="448"/>
      <c r="Q1" s="449"/>
    </row>
    <row r="2" spans="1:63" ht="22.5" customHeight="1" x14ac:dyDescent="0.25">
      <c r="A2" s="271"/>
      <c r="B2" s="41"/>
      <c r="C2" s="112">
        <f>'DüV-N-Ackerbau (1)'!C2</f>
        <v>1</v>
      </c>
      <c r="D2" s="397"/>
      <c r="F2" s="112">
        <f>'DüV-N-Ackerbau (1)'!G1</f>
        <v>2022</v>
      </c>
      <c r="I2" s="400"/>
      <c r="J2" s="400"/>
      <c r="K2" s="400"/>
      <c r="L2" s="400"/>
      <c r="M2" s="400"/>
      <c r="N2" s="400"/>
      <c r="O2" s="400"/>
      <c r="P2" s="400"/>
      <c r="Q2" s="503"/>
      <c r="AP2" s="1378" t="s">
        <v>1171</v>
      </c>
      <c r="AQ2" s="1379"/>
      <c r="AR2" s="1379"/>
      <c r="AS2" s="1379"/>
      <c r="AT2" s="1379"/>
      <c r="AU2" s="1379"/>
      <c r="AV2" s="1379"/>
      <c r="AW2" s="1379"/>
      <c r="AX2" s="1379"/>
      <c r="AY2" s="1379"/>
      <c r="AZ2" s="1380"/>
    </row>
    <row r="3" spans="1:63" ht="22.5" customHeight="1" x14ac:dyDescent="0.25">
      <c r="A3" s="271"/>
      <c r="B3" s="41"/>
      <c r="C3" s="112">
        <f>'DüV-N-Ackerbau (1)'!C3</f>
        <v>123456</v>
      </c>
      <c r="D3" s="398"/>
      <c r="F3" s="370"/>
      <c r="H3" s="400"/>
      <c r="I3" s="400"/>
      <c r="J3" s="400"/>
      <c r="K3" s="400"/>
      <c r="L3" s="400"/>
      <c r="M3" s="400"/>
      <c r="N3" s="400"/>
      <c r="O3" s="400"/>
      <c r="P3" s="400"/>
      <c r="Q3" s="503"/>
      <c r="AP3" s="1343"/>
      <c r="AQ3" s="1293"/>
      <c r="AR3" s="1293"/>
      <c r="AS3" s="1293"/>
      <c r="AT3" s="1293"/>
      <c r="AU3" s="1293"/>
      <c r="AV3" s="1293"/>
      <c r="AW3" s="1293"/>
      <c r="AX3" s="1293"/>
      <c r="AY3" s="1293"/>
      <c r="AZ3" s="1344"/>
    </row>
    <row r="4" spans="1:63" ht="20.25" customHeight="1" x14ac:dyDescent="0.25">
      <c r="A4" s="1476" t="s">
        <v>616</v>
      </c>
      <c r="B4" s="1336"/>
      <c r="C4" s="1336"/>
      <c r="D4" s="1336"/>
      <c r="E4" s="1336"/>
      <c r="F4" s="1336"/>
      <c r="G4" s="1336"/>
      <c r="H4" s="1336"/>
      <c r="I4" s="1336"/>
      <c r="J4" s="1336"/>
      <c r="K4" s="1336"/>
      <c r="L4" s="1336"/>
      <c r="M4" s="1336"/>
      <c r="N4" s="1336"/>
      <c r="O4" s="1336"/>
      <c r="P4" s="1336"/>
      <c r="Q4" s="1477"/>
      <c r="AP4" s="1343"/>
      <c r="AQ4" s="1293"/>
      <c r="AR4" s="1293"/>
      <c r="AS4" s="1293"/>
      <c r="AT4" s="1293"/>
      <c r="AU4" s="1293"/>
      <c r="AV4" s="1293"/>
      <c r="AW4" s="1293"/>
      <c r="AX4" s="1293"/>
      <c r="AY4" s="1293"/>
      <c r="AZ4" s="1344"/>
    </row>
    <row r="5" spans="1:63" ht="16.5" customHeight="1" x14ac:dyDescent="0.25">
      <c r="A5" s="1476" t="s">
        <v>577</v>
      </c>
      <c r="B5" s="1336"/>
      <c r="C5" s="1336"/>
      <c r="D5" s="1336"/>
      <c r="E5" s="1336"/>
      <c r="F5" s="1336"/>
      <c r="G5" s="1336"/>
      <c r="H5" s="1336"/>
      <c r="I5" s="1336"/>
      <c r="J5" s="1336"/>
      <c r="K5" s="1336"/>
      <c r="L5" s="1336"/>
      <c r="M5" s="1336"/>
      <c r="N5" s="1336"/>
      <c r="O5" s="1336"/>
      <c r="P5" s="1336"/>
      <c r="Q5" s="1477"/>
      <c r="S5" s="1468" t="s">
        <v>1166</v>
      </c>
      <c r="T5" s="1469"/>
      <c r="U5" s="1469"/>
      <c r="V5" s="1469"/>
      <c r="W5" s="1469"/>
      <c r="X5" s="1469"/>
      <c r="Y5" s="1469"/>
      <c r="Z5" s="1469"/>
      <c r="AA5" s="1469"/>
      <c r="AB5" s="1469"/>
      <c r="AC5" s="1469"/>
      <c r="AD5" s="1469"/>
      <c r="AE5" s="1469"/>
      <c r="AF5" s="1469"/>
      <c r="AG5" s="1469"/>
      <c r="AH5" s="1469"/>
      <c r="AI5" s="1469"/>
      <c r="AJ5" s="1469"/>
      <c r="AK5" s="1469"/>
      <c r="AL5" s="1469"/>
      <c r="AM5" s="1469"/>
      <c r="AN5" s="1470"/>
      <c r="AP5" s="1343"/>
      <c r="AQ5" s="1293"/>
      <c r="AR5" s="1293"/>
      <c r="AS5" s="1293"/>
      <c r="AT5" s="1293"/>
      <c r="AU5" s="1293"/>
      <c r="AV5" s="1293"/>
      <c r="AW5" s="1293"/>
      <c r="AX5" s="1293"/>
      <c r="AY5" s="1293"/>
      <c r="AZ5" s="1344"/>
    </row>
    <row r="6" spans="1:63" ht="17.25" customHeight="1" x14ac:dyDescent="0.25">
      <c r="A6" s="1476" t="s">
        <v>576</v>
      </c>
      <c r="B6" s="1336"/>
      <c r="C6" s="1336"/>
      <c r="D6" s="1336"/>
      <c r="E6" s="1336"/>
      <c r="F6" s="1336"/>
      <c r="G6" s="1336"/>
      <c r="H6" s="1336"/>
      <c r="I6" s="1336"/>
      <c r="J6" s="1336"/>
      <c r="K6" s="1336"/>
      <c r="L6" s="1336"/>
      <c r="M6" s="1336"/>
      <c r="N6" s="1336"/>
      <c r="O6" s="1336"/>
      <c r="P6" s="1336"/>
      <c r="Q6" s="1477"/>
      <c r="S6" s="1471"/>
      <c r="T6" s="1472"/>
      <c r="U6" s="1472"/>
      <c r="V6" s="1472"/>
      <c r="W6" s="1472"/>
      <c r="X6" s="1472"/>
      <c r="Y6" s="1472"/>
      <c r="Z6" s="1472"/>
      <c r="AA6" s="1472"/>
      <c r="AB6" s="1472"/>
      <c r="AC6" s="1472"/>
      <c r="AD6" s="1472"/>
      <c r="AE6" s="1472"/>
      <c r="AF6" s="1472"/>
      <c r="AG6" s="1472"/>
      <c r="AH6" s="1472"/>
      <c r="AI6" s="1472"/>
      <c r="AJ6" s="1472"/>
      <c r="AK6" s="1472"/>
      <c r="AL6" s="1472"/>
      <c r="AM6" s="1472"/>
      <c r="AN6" s="1473"/>
      <c r="AP6" s="1345"/>
      <c r="AQ6" s="1381"/>
      <c r="AR6" s="1381"/>
      <c r="AS6" s="1381"/>
      <c r="AT6" s="1381"/>
      <c r="AU6" s="1381"/>
      <c r="AV6" s="1381"/>
      <c r="AW6" s="1381"/>
      <c r="AX6" s="1381"/>
      <c r="AY6" s="1381"/>
      <c r="AZ6" s="1346"/>
    </row>
    <row r="7" spans="1:63" ht="19.5" customHeight="1" thickBot="1" x14ac:dyDescent="0.3">
      <c r="A7" s="1476" t="s">
        <v>1101</v>
      </c>
      <c r="B7" s="1336"/>
      <c r="C7" s="1336"/>
      <c r="D7" s="1336"/>
      <c r="E7" s="1336"/>
      <c r="F7" s="1336"/>
      <c r="G7" s="1336"/>
      <c r="H7" s="1336"/>
      <c r="I7" s="1336"/>
      <c r="J7" s="1336"/>
      <c r="K7" s="1336"/>
      <c r="L7" s="1336"/>
      <c r="M7" s="1336"/>
      <c r="N7" s="1336"/>
      <c r="O7" s="1336"/>
      <c r="P7" s="1336"/>
      <c r="Q7" s="1477"/>
      <c r="AP7" s="1289" t="s">
        <v>1081</v>
      </c>
      <c r="AQ7" s="1289"/>
      <c r="AR7" s="1289"/>
      <c r="AS7" s="1289"/>
      <c r="AT7" s="1289"/>
      <c r="AU7" s="393"/>
      <c r="AV7" s="1277" t="s">
        <v>1092</v>
      </c>
      <c r="AW7" s="1278"/>
      <c r="AX7" s="1278"/>
      <c r="AY7" s="1278"/>
      <c r="AZ7" s="1278"/>
      <c r="BC7" s="3"/>
    </row>
    <row r="8" spans="1:63" ht="24.75" customHeight="1" x14ac:dyDescent="0.25">
      <c r="A8" s="1363" t="s">
        <v>1091</v>
      </c>
      <c r="B8" s="1406" t="s">
        <v>570</v>
      </c>
      <c r="C8" s="1489" t="s">
        <v>574</v>
      </c>
      <c r="D8" s="1496" t="s">
        <v>777</v>
      </c>
      <c r="E8" s="1478" t="s">
        <v>309</v>
      </c>
      <c r="F8" s="1305" t="s">
        <v>780</v>
      </c>
      <c r="G8" s="1478" t="s">
        <v>309</v>
      </c>
      <c r="H8" s="1305" t="s">
        <v>554</v>
      </c>
      <c r="I8" s="1478" t="s">
        <v>309</v>
      </c>
      <c r="J8" s="1305" t="s">
        <v>557</v>
      </c>
      <c r="K8" s="1408" t="s">
        <v>560</v>
      </c>
      <c r="L8" s="1478" t="s">
        <v>309</v>
      </c>
      <c r="M8" s="1481" t="s">
        <v>796</v>
      </c>
      <c r="N8" s="1480" t="s">
        <v>1028</v>
      </c>
      <c r="O8" s="1417"/>
      <c r="P8" s="1314" t="s">
        <v>1150</v>
      </c>
      <c r="Q8" s="1315"/>
      <c r="R8" s="114"/>
      <c r="S8" s="1475" t="s">
        <v>829</v>
      </c>
      <c r="T8" s="519"/>
      <c r="U8" s="1474" t="s">
        <v>828</v>
      </c>
      <c r="V8" s="1457"/>
      <c r="W8" s="1457"/>
      <c r="X8" s="1457"/>
      <c r="Y8" s="1457"/>
      <c r="Z8" s="1458"/>
      <c r="AA8" s="519"/>
      <c r="AB8" s="1474" t="s">
        <v>851</v>
      </c>
      <c r="AC8" s="1457"/>
      <c r="AD8" s="1457"/>
      <c r="AE8" s="1457"/>
      <c r="AF8" s="1457"/>
      <c r="AG8" s="1458"/>
      <c r="AH8" s="400"/>
      <c r="AI8" s="1474" t="s">
        <v>851</v>
      </c>
      <c r="AJ8" s="1457"/>
      <c r="AK8" s="1457"/>
      <c r="AL8" s="1457"/>
      <c r="AM8" s="1457"/>
      <c r="AN8" s="1458"/>
      <c r="AO8" s="400"/>
      <c r="AP8" s="1290"/>
      <c r="AQ8" s="1290"/>
      <c r="AR8" s="1290"/>
      <c r="AS8" s="1290"/>
      <c r="AT8" s="1290"/>
      <c r="AU8" s="393"/>
      <c r="AV8" s="1279"/>
      <c r="AW8" s="1279"/>
      <c r="AX8" s="1279"/>
      <c r="AY8" s="1279"/>
      <c r="AZ8" s="1279"/>
      <c r="BA8" s="390"/>
      <c r="BB8" s="390"/>
      <c r="BC8" s="32"/>
      <c r="BJ8" s="124"/>
      <c r="BK8" s="124"/>
    </row>
    <row r="9" spans="1:63" s="124" customFormat="1" ht="55.5" customHeight="1" thickBot="1" x14ac:dyDescent="0.3">
      <c r="A9" s="1364"/>
      <c r="B9" s="1407"/>
      <c r="C9" s="1490"/>
      <c r="D9" s="1497"/>
      <c r="E9" s="1479"/>
      <c r="F9" s="1296"/>
      <c r="G9" s="1479"/>
      <c r="H9" s="1296"/>
      <c r="I9" s="1479"/>
      <c r="J9" s="1296"/>
      <c r="K9" s="1294"/>
      <c r="L9" s="1479"/>
      <c r="M9" s="1482"/>
      <c r="N9" s="652" t="s">
        <v>328</v>
      </c>
      <c r="O9" s="505" t="s">
        <v>610</v>
      </c>
      <c r="P9" s="486" t="s">
        <v>605</v>
      </c>
      <c r="Q9" s="483" t="s">
        <v>611</v>
      </c>
      <c r="R9" s="723"/>
      <c r="S9" s="1396"/>
      <c r="T9" s="723"/>
      <c r="U9" s="745" t="s">
        <v>850</v>
      </c>
      <c r="V9" s="744" t="s">
        <v>830</v>
      </c>
      <c r="W9" s="681" t="s">
        <v>33</v>
      </c>
      <c r="X9" s="312" t="s">
        <v>1078</v>
      </c>
      <c r="Y9" s="681" t="s">
        <v>1079</v>
      </c>
      <c r="Z9" s="312" t="s">
        <v>1080</v>
      </c>
      <c r="AA9" s="723"/>
      <c r="AB9" s="745" t="s">
        <v>850</v>
      </c>
      <c r="AC9" s="744" t="s">
        <v>830</v>
      </c>
      <c r="AD9" s="681" t="s">
        <v>33</v>
      </c>
      <c r="AE9" s="312" t="s">
        <v>1078</v>
      </c>
      <c r="AF9" s="681" t="s">
        <v>1079</v>
      </c>
      <c r="AG9" s="312" t="s">
        <v>1080</v>
      </c>
      <c r="AH9" s="519"/>
      <c r="AI9" s="745" t="s">
        <v>850</v>
      </c>
      <c r="AJ9" s="744" t="s">
        <v>830</v>
      </c>
      <c r="AK9" s="681" t="s">
        <v>33</v>
      </c>
      <c r="AL9" s="312" t="s">
        <v>1078</v>
      </c>
      <c r="AM9" s="681" t="s">
        <v>1079</v>
      </c>
      <c r="AN9" s="312" t="s">
        <v>1080</v>
      </c>
      <c r="AO9" s="519"/>
      <c r="AP9" s="775" t="s">
        <v>1096</v>
      </c>
      <c r="AQ9" s="312" t="s">
        <v>1082</v>
      </c>
      <c r="AR9" s="312" t="s">
        <v>1099</v>
      </c>
      <c r="AS9" s="699" t="s">
        <v>1268</v>
      </c>
      <c r="AT9" s="312" t="s">
        <v>290</v>
      </c>
      <c r="AU9" s="519"/>
      <c r="AV9" s="780" t="s">
        <v>1096</v>
      </c>
      <c r="AW9" s="312" t="s">
        <v>1082</v>
      </c>
      <c r="AX9" s="781" t="s">
        <v>1098</v>
      </c>
      <c r="AY9" s="699" t="s">
        <v>1268</v>
      </c>
      <c r="AZ9" s="312" t="s">
        <v>290</v>
      </c>
      <c r="BA9" s="392"/>
      <c r="BB9" s="392"/>
      <c r="BC9" s="3"/>
      <c r="BD9" s="80"/>
    </row>
    <row r="10" spans="1:63" ht="28.5" customHeight="1" x14ac:dyDescent="0.25">
      <c r="A10" s="379" t="s">
        <v>1035</v>
      </c>
      <c r="B10" s="1221">
        <v>0</v>
      </c>
      <c r="C10" s="1493">
        <v>40</v>
      </c>
      <c r="D10" s="1027" t="s">
        <v>578</v>
      </c>
      <c r="E10" s="1024">
        <f t="shared" ref="E10:E31" si="0">IF(D10="bis 14 t/ha",0,10)</f>
        <v>0</v>
      </c>
      <c r="F10" s="645" t="s">
        <v>567</v>
      </c>
      <c r="G10" s="436">
        <f t="shared" ref="G10:G29" si="1">VLOOKUP(F10,BD$11:BE$20,2,FALSE)</f>
        <v>0</v>
      </c>
      <c r="H10" s="437" t="s">
        <v>299</v>
      </c>
      <c r="I10" s="438">
        <f t="shared" ref="I10:I30" si="2">VLOOKUP(H10,BG$11:BH$13,2,FALSE)</f>
        <v>0</v>
      </c>
      <c r="J10" s="439" t="s">
        <v>559</v>
      </c>
      <c r="K10" s="394" t="s">
        <v>562</v>
      </c>
      <c r="L10" s="436">
        <f t="shared" ref="L10:L29" si="3">IF(K10="jede zweite",BA10,BA10*2)</f>
        <v>0</v>
      </c>
      <c r="M10" s="1023"/>
      <c r="N10" s="440">
        <f t="shared" ref="N10:N31" si="4">IF(BB10&lt;=0,0,IF(BB10&gt;=80,80,BB10))</f>
        <v>40</v>
      </c>
      <c r="O10" s="504">
        <f t="shared" ref="O10:O31" si="5">N10*B10</f>
        <v>0</v>
      </c>
      <c r="P10" s="509">
        <v>10</v>
      </c>
      <c r="Q10" s="510">
        <f t="shared" ref="Q10:Q31" si="6">B10*P10</f>
        <v>0</v>
      </c>
      <c r="R10" s="692"/>
      <c r="S10" s="312" t="str">
        <f t="shared" ref="S10:S29" si="7">$A10</f>
        <v>Bsp. Eins</v>
      </c>
      <c r="T10" s="668"/>
      <c r="U10" s="899"/>
      <c r="V10" s="887" t="s">
        <v>805</v>
      </c>
      <c r="W10" s="906">
        <v>0</v>
      </c>
      <c r="X10" s="687">
        <f>VLOOKUP(V10,Düngemittel!$B$6:$E$64,2,FALSE)*(VLOOKUP(V10,Düngemittel!$B$6:$E$64,3,FALSE))/100*W10</f>
        <v>0</v>
      </c>
      <c r="Y10" s="687">
        <f>VLOOKUP(V10,Düngemittel!$B$6:$E$64,2,FALSE)*W10</f>
        <v>0</v>
      </c>
      <c r="Z10" s="687">
        <f>VLOOKUP(V10,Düngemittel!$B$6:$E$64,4,FALSE)*W10</f>
        <v>0</v>
      </c>
      <c r="AA10" s="668"/>
      <c r="AB10" s="899"/>
      <c r="AC10" s="887" t="s">
        <v>805</v>
      </c>
      <c r="AD10" s="906">
        <v>0</v>
      </c>
      <c r="AE10" s="687">
        <f>VLOOKUP(AC10,Düngemittel!$B$6:$E$64,2,FALSE)*(VLOOKUP(AC10,Düngemittel!$B$6:$E$64,3,FALSE))/100*AD10</f>
        <v>0</v>
      </c>
      <c r="AF10" s="687">
        <f>VLOOKUP(AC10,Düngemittel!$B$6:$E$64,2,FALSE)*AD10</f>
        <v>0</v>
      </c>
      <c r="AG10" s="687">
        <f>VLOOKUP(AC10,Düngemittel!$B$6:$E$64,4,FALSE)*AD10</f>
        <v>0</v>
      </c>
      <c r="AH10" s="666"/>
      <c r="AI10" s="899"/>
      <c r="AJ10" s="887" t="s">
        <v>805</v>
      </c>
      <c r="AK10" s="906">
        <v>0</v>
      </c>
      <c r="AL10" s="687">
        <f>VLOOKUP(AJ10,Düngemittel!$B$6:$E$64,2,FALSE)*(VLOOKUP(AJ10,Düngemittel!$B$6:$E$64,3,FALSE))/100*AK10</f>
        <v>0</v>
      </c>
      <c r="AM10" s="687">
        <f>VLOOKUP(AJ10,Düngemittel!$B$6:$E$64,2,FALSE)*AK10</f>
        <v>0</v>
      </c>
      <c r="AN10" s="687">
        <f>VLOOKUP(AJ10,Düngemittel!$B$6:$E$64,4,FALSE)*AK10</f>
        <v>0</v>
      </c>
      <c r="AO10" s="666"/>
      <c r="AP10" s="853">
        <f>IF(X10&lt;Y10,0,X10)+IF(AE10&lt;AF10,0,AE10)+IF(AL10&lt;AM10,0,AL10)</f>
        <v>0</v>
      </c>
      <c r="AQ10" s="308">
        <f>SUM(X10+AE10+AL10)</f>
        <v>0</v>
      </c>
      <c r="AR10" s="853">
        <f>SUM(Y10+AF10+AM10)</f>
        <v>0</v>
      </c>
      <c r="AS10" s="790">
        <f>IF(X10&lt;Y10,Y10,0)+IF(AE10&lt;AF10,AF10,0)+IF(AL10&lt;AM10,AM10,0)</f>
        <v>0</v>
      </c>
      <c r="AT10" s="308">
        <f>SUM(Z10+AG10+AN10)</f>
        <v>0</v>
      </c>
      <c r="AU10" s="786"/>
      <c r="AV10" s="853">
        <f>AP10*$B10</f>
        <v>0</v>
      </c>
      <c r="AW10" s="853">
        <f t="shared" ref="AW10:AZ10" si="8">AQ10*$B10</f>
        <v>0</v>
      </c>
      <c r="AX10" s="853">
        <f t="shared" si="8"/>
        <v>0</v>
      </c>
      <c r="AY10" s="853">
        <f t="shared" si="8"/>
        <v>0</v>
      </c>
      <c r="AZ10" s="853">
        <f t="shared" si="8"/>
        <v>0</v>
      </c>
      <c r="BA10" s="351">
        <f t="shared" ref="BA10:BA28" si="9">VLOOKUP(J10,BJ$11:BK$24,2,FALSE)</f>
        <v>0</v>
      </c>
      <c r="BB10" s="399">
        <f t="shared" ref="BB10:BB28" si="10">40+E10+G10+I10+L10-M10</f>
        <v>40</v>
      </c>
      <c r="BC10" s="3"/>
      <c r="BD10" s="112" t="s">
        <v>553</v>
      </c>
      <c r="BG10" s="112" t="s">
        <v>554</v>
      </c>
      <c r="BJ10" s="112" t="s">
        <v>557</v>
      </c>
    </row>
    <row r="11" spans="1:63" ht="28.5" customHeight="1" x14ac:dyDescent="0.25">
      <c r="A11" s="342" t="s">
        <v>571</v>
      </c>
      <c r="B11" s="1222">
        <v>0</v>
      </c>
      <c r="C11" s="1494"/>
      <c r="D11" s="1028" t="s">
        <v>578</v>
      </c>
      <c r="E11" s="1025">
        <f t="shared" si="0"/>
        <v>0</v>
      </c>
      <c r="F11" s="645" t="s">
        <v>567</v>
      </c>
      <c r="G11" s="436">
        <f t="shared" si="1"/>
        <v>0</v>
      </c>
      <c r="H11" s="437" t="s">
        <v>299</v>
      </c>
      <c r="I11" s="438">
        <f t="shared" si="2"/>
        <v>0</v>
      </c>
      <c r="J11" s="439" t="s">
        <v>559</v>
      </c>
      <c r="K11" s="394" t="s">
        <v>562</v>
      </c>
      <c r="L11" s="436">
        <f t="shared" si="3"/>
        <v>0</v>
      </c>
      <c r="M11" s="1023"/>
      <c r="N11" s="440">
        <f t="shared" si="4"/>
        <v>40</v>
      </c>
      <c r="O11" s="504">
        <f t="shared" si="5"/>
        <v>0</v>
      </c>
      <c r="P11" s="509">
        <v>10</v>
      </c>
      <c r="Q11" s="507">
        <f t="shared" si="6"/>
        <v>0</v>
      </c>
      <c r="R11" s="692"/>
      <c r="S11" s="312" t="str">
        <f t="shared" si="7"/>
        <v>Nummer 2</v>
      </c>
      <c r="T11" s="668"/>
      <c r="U11" s="899"/>
      <c r="V11" s="887" t="s">
        <v>805</v>
      </c>
      <c r="W11" s="906">
        <v>0</v>
      </c>
      <c r="X11" s="687">
        <f>VLOOKUP(V11,Düngemittel!$B$6:$E$64,2,FALSE)*(VLOOKUP(V11,Düngemittel!$B$6:$E$64,3,FALSE))/100*W11</f>
        <v>0</v>
      </c>
      <c r="Y11" s="687">
        <f>VLOOKUP(V11,Düngemittel!$B$6:$E$64,2,FALSE)*W11</f>
        <v>0</v>
      </c>
      <c r="Z11" s="687">
        <f>VLOOKUP(V11,Düngemittel!$B$6:$E$64,4,FALSE)*W11</f>
        <v>0</v>
      </c>
      <c r="AA11" s="668"/>
      <c r="AB11" s="899"/>
      <c r="AC11" s="887" t="s">
        <v>805</v>
      </c>
      <c r="AD11" s="906">
        <v>0</v>
      </c>
      <c r="AE11" s="687">
        <f>VLOOKUP(AC11,Düngemittel!$B$6:$E$64,2,FALSE)*(VLOOKUP(AC11,Düngemittel!$B$6:$E$64,3,FALSE))/100*AD11</f>
        <v>0</v>
      </c>
      <c r="AF11" s="687">
        <f>VLOOKUP(AC11,Düngemittel!$B$6:$E$64,2,FALSE)*AD11</f>
        <v>0</v>
      </c>
      <c r="AG11" s="687">
        <f>VLOOKUP(AC11,Düngemittel!$B$6:$E$64,4,FALSE)*AD11</f>
        <v>0</v>
      </c>
      <c r="AH11" s="666"/>
      <c r="AI11" s="899"/>
      <c r="AJ11" s="887" t="s">
        <v>805</v>
      </c>
      <c r="AK11" s="906">
        <v>0</v>
      </c>
      <c r="AL11" s="687">
        <f>VLOOKUP(AJ11,Düngemittel!$B$6:$E$64,2,FALSE)*(VLOOKUP(AJ11,Düngemittel!$B$6:$E$64,3,FALSE))/100*AK11</f>
        <v>0</v>
      </c>
      <c r="AM11" s="687">
        <f>VLOOKUP(AJ11,Düngemittel!$B$6:$E$64,2,FALSE)*AK11</f>
        <v>0</v>
      </c>
      <c r="AN11" s="687">
        <f>VLOOKUP(AJ11,Düngemittel!$B$6:$E$64,4,FALSE)*AK11</f>
        <v>0</v>
      </c>
      <c r="AO11" s="666"/>
      <c r="AP11" s="853">
        <f t="shared" ref="AP11:AP31" si="11">IF(X11&lt;Y11,0,X11)+IF(AE11&lt;AF11,0,AE11)+IF(AL11&lt;AM11,0,AL11)</f>
        <v>0</v>
      </c>
      <c r="AQ11" s="308">
        <f t="shared" ref="AQ11:AQ31" si="12">SUM(X11+AE11+AL11)</f>
        <v>0</v>
      </c>
      <c r="AR11" s="853">
        <f t="shared" ref="AR11:AR31" si="13">SUM(Y11+AF11+AM11)</f>
        <v>0</v>
      </c>
      <c r="AS11" s="790">
        <f t="shared" ref="AS11:AS31" si="14">IF(X11&lt;Y11,Y11,0)+IF(AE11&lt;AF11,AF11,0)+IF(AL11&lt;AM11,AM11,0)</f>
        <v>0</v>
      </c>
      <c r="AT11" s="308">
        <f t="shared" ref="AT11:AT31" si="15">SUM(Z11+AG11+AN11)</f>
        <v>0</v>
      </c>
      <c r="AU11" s="786"/>
      <c r="AV11" s="853">
        <f t="shared" ref="AV11:AV31" si="16">AP11*$B11</f>
        <v>0</v>
      </c>
      <c r="AW11" s="853">
        <f t="shared" ref="AW11:AW31" si="17">AQ11*$B11</f>
        <v>0</v>
      </c>
      <c r="AX11" s="853">
        <f t="shared" ref="AX11:AX31" si="18">AR11*$B11</f>
        <v>0</v>
      </c>
      <c r="AY11" s="853">
        <f t="shared" ref="AY11:AY31" si="19">AS11*$B11</f>
        <v>0</v>
      </c>
      <c r="AZ11" s="853">
        <f t="shared" ref="AZ11:AZ31" si="20">AT11*$B11</f>
        <v>0</v>
      </c>
      <c r="BA11" s="351">
        <f t="shared" si="9"/>
        <v>0</v>
      </c>
      <c r="BB11" s="399">
        <f t="shared" si="10"/>
        <v>40</v>
      </c>
      <c r="BC11" s="3"/>
      <c r="BD11" s="80" t="s">
        <v>563</v>
      </c>
      <c r="BE11" s="80">
        <v>20</v>
      </c>
      <c r="BG11" s="80" t="s">
        <v>555</v>
      </c>
      <c r="BH11" s="80">
        <v>30</v>
      </c>
      <c r="BJ11" s="400" t="s">
        <v>781</v>
      </c>
      <c r="BK11" s="80">
        <v>20</v>
      </c>
    </row>
    <row r="12" spans="1:63" ht="28.5" customHeight="1" x14ac:dyDescent="0.25">
      <c r="A12" s="342" t="s">
        <v>572</v>
      </c>
      <c r="B12" s="1222">
        <v>0</v>
      </c>
      <c r="C12" s="1494"/>
      <c r="D12" s="1028" t="s">
        <v>578</v>
      </c>
      <c r="E12" s="1025">
        <f t="shared" si="0"/>
        <v>0</v>
      </c>
      <c r="F12" s="645" t="s">
        <v>567</v>
      </c>
      <c r="G12" s="436">
        <f t="shared" si="1"/>
        <v>0</v>
      </c>
      <c r="H12" s="437" t="s">
        <v>299</v>
      </c>
      <c r="I12" s="438">
        <f t="shared" si="2"/>
        <v>0</v>
      </c>
      <c r="J12" s="439" t="s">
        <v>559</v>
      </c>
      <c r="K12" s="394" t="s">
        <v>562</v>
      </c>
      <c r="L12" s="436">
        <f t="shared" si="3"/>
        <v>0</v>
      </c>
      <c r="M12" s="1023"/>
      <c r="N12" s="440">
        <f t="shared" si="4"/>
        <v>40</v>
      </c>
      <c r="O12" s="504">
        <f t="shared" si="5"/>
        <v>0</v>
      </c>
      <c r="P12" s="509">
        <v>10</v>
      </c>
      <c r="Q12" s="507">
        <f t="shared" si="6"/>
        <v>0</v>
      </c>
      <c r="R12" s="692"/>
      <c r="S12" s="312" t="str">
        <f t="shared" si="7"/>
        <v>Fläche 3</v>
      </c>
      <c r="T12" s="668"/>
      <c r="U12" s="899"/>
      <c r="V12" s="887" t="s">
        <v>805</v>
      </c>
      <c r="W12" s="906">
        <v>0</v>
      </c>
      <c r="X12" s="687">
        <f>VLOOKUP(V12,Düngemittel!$B$6:$E$64,2,FALSE)*(VLOOKUP(V12,Düngemittel!$B$6:$E$64,3,FALSE))/100*W12</f>
        <v>0</v>
      </c>
      <c r="Y12" s="687">
        <f>VLOOKUP(V12,Düngemittel!$B$6:$E$64,2,FALSE)*W12</f>
        <v>0</v>
      </c>
      <c r="Z12" s="687">
        <f>VLOOKUP(V12,Düngemittel!$B$6:$E$64,4,FALSE)*W12</f>
        <v>0</v>
      </c>
      <c r="AA12" s="668"/>
      <c r="AB12" s="899"/>
      <c r="AC12" s="887" t="s">
        <v>805</v>
      </c>
      <c r="AD12" s="906">
        <v>0</v>
      </c>
      <c r="AE12" s="687">
        <f>VLOOKUP(AC12,Düngemittel!$B$6:$E$64,2,FALSE)*(VLOOKUP(AC12,Düngemittel!$B$6:$E$64,3,FALSE))/100*AD12</f>
        <v>0</v>
      </c>
      <c r="AF12" s="687">
        <f>VLOOKUP(AC12,Düngemittel!$B$6:$E$64,2,FALSE)*AD12</f>
        <v>0</v>
      </c>
      <c r="AG12" s="687">
        <f>VLOOKUP(AC12,Düngemittel!$B$6:$E$64,4,FALSE)*AD12</f>
        <v>0</v>
      </c>
      <c r="AH12" s="666"/>
      <c r="AI12" s="899"/>
      <c r="AJ12" s="887" t="s">
        <v>805</v>
      </c>
      <c r="AK12" s="906">
        <v>0</v>
      </c>
      <c r="AL12" s="687">
        <f>VLOOKUP(AJ12,Düngemittel!$B$6:$E$64,2,FALSE)*(VLOOKUP(AJ12,Düngemittel!$B$6:$E$64,3,FALSE))/100*AK12</f>
        <v>0</v>
      </c>
      <c r="AM12" s="687">
        <f>VLOOKUP(AJ12,Düngemittel!$B$6:$E$64,2,FALSE)*AK12</f>
        <v>0</v>
      </c>
      <c r="AN12" s="687">
        <f>VLOOKUP(AJ12,Düngemittel!$B$6:$E$64,4,FALSE)*AK12</f>
        <v>0</v>
      </c>
      <c r="AO12" s="666"/>
      <c r="AP12" s="853">
        <f t="shared" si="11"/>
        <v>0</v>
      </c>
      <c r="AQ12" s="308">
        <f t="shared" si="12"/>
        <v>0</v>
      </c>
      <c r="AR12" s="853">
        <f t="shared" si="13"/>
        <v>0</v>
      </c>
      <c r="AS12" s="790">
        <f t="shared" si="14"/>
        <v>0</v>
      </c>
      <c r="AT12" s="308">
        <f t="shared" si="15"/>
        <v>0</v>
      </c>
      <c r="AU12" s="786"/>
      <c r="AV12" s="853">
        <f t="shared" si="16"/>
        <v>0</v>
      </c>
      <c r="AW12" s="853">
        <f t="shared" si="17"/>
        <v>0</v>
      </c>
      <c r="AX12" s="853">
        <f t="shared" si="18"/>
        <v>0</v>
      </c>
      <c r="AY12" s="853">
        <f t="shared" si="19"/>
        <v>0</v>
      </c>
      <c r="AZ12" s="853">
        <f t="shared" si="20"/>
        <v>0</v>
      </c>
      <c r="BA12" s="351">
        <f t="shared" si="9"/>
        <v>0</v>
      </c>
      <c r="BB12" s="399">
        <f t="shared" si="10"/>
        <v>40</v>
      </c>
      <c r="BC12" s="3"/>
      <c r="BD12" s="80" t="s">
        <v>564</v>
      </c>
      <c r="BE12" s="80">
        <v>0</v>
      </c>
      <c r="BG12" s="80" t="s">
        <v>299</v>
      </c>
      <c r="BH12" s="80">
        <v>0</v>
      </c>
      <c r="BJ12" s="400" t="s">
        <v>782</v>
      </c>
      <c r="BK12" s="80">
        <v>0</v>
      </c>
    </row>
    <row r="13" spans="1:63" ht="28.5" customHeight="1" x14ac:dyDescent="0.25">
      <c r="A13" s="342" t="s">
        <v>573</v>
      </c>
      <c r="B13" s="1222">
        <v>0</v>
      </c>
      <c r="C13" s="1494"/>
      <c r="D13" s="1028" t="s">
        <v>578</v>
      </c>
      <c r="E13" s="1025">
        <f t="shared" si="0"/>
        <v>0</v>
      </c>
      <c r="F13" s="645" t="s">
        <v>567</v>
      </c>
      <c r="G13" s="436">
        <f t="shared" si="1"/>
        <v>0</v>
      </c>
      <c r="H13" s="437" t="s">
        <v>299</v>
      </c>
      <c r="I13" s="438">
        <f t="shared" si="2"/>
        <v>0</v>
      </c>
      <c r="J13" s="439" t="s">
        <v>559</v>
      </c>
      <c r="K13" s="394" t="s">
        <v>562</v>
      </c>
      <c r="L13" s="436">
        <f t="shared" si="3"/>
        <v>0</v>
      </c>
      <c r="M13" s="1023"/>
      <c r="N13" s="440">
        <f t="shared" si="4"/>
        <v>40</v>
      </c>
      <c r="O13" s="504">
        <f t="shared" si="5"/>
        <v>0</v>
      </c>
      <c r="P13" s="509">
        <v>10</v>
      </c>
      <c r="Q13" s="507">
        <f t="shared" si="6"/>
        <v>0</v>
      </c>
      <c r="R13" s="692"/>
      <c r="S13" s="312" t="str">
        <f t="shared" si="7"/>
        <v>Schlag 4</v>
      </c>
      <c r="T13" s="668"/>
      <c r="U13" s="899"/>
      <c r="V13" s="887" t="s">
        <v>805</v>
      </c>
      <c r="W13" s="906">
        <v>0</v>
      </c>
      <c r="X13" s="687">
        <f>VLOOKUP(V13,Düngemittel!$B$6:$E$64,2,FALSE)*(VLOOKUP(V13,Düngemittel!$B$6:$E$64,3,FALSE))/100*W13</f>
        <v>0</v>
      </c>
      <c r="Y13" s="687">
        <f>VLOOKUP(V13,Düngemittel!$B$6:$E$64,2,FALSE)*W13</f>
        <v>0</v>
      </c>
      <c r="Z13" s="687">
        <f>VLOOKUP(V13,Düngemittel!$B$6:$E$64,4,FALSE)*W13</f>
        <v>0</v>
      </c>
      <c r="AA13" s="668"/>
      <c r="AB13" s="899"/>
      <c r="AC13" s="887" t="s">
        <v>805</v>
      </c>
      <c r="AD13" s="906">
        <v>0</v>
      </c>
      <c r="AE13" s="687">
        <f>VLOOKUP(AC13,Düngemittel!$B$6:$E$64,2,FALSE)*(VLOOKUP(AC13,Düngemittel!$B$6:$E$64,3,FALSE))/100*AD13</f>
        <v>0</v>
      </c>
      <c r="AF13" s="687">
        <f>VLOOKUP(AC13,Düngemittel!$B$6:$E$64,2,FALSE)*AD13</f>
        <v>0</v>
      </c>
      <c r="AG13" s="687">
        <f>VLOOKUP(AC13,Düngemittel!$B$6:$E$64,4,FALSE)*AD13</f>
        <v>0</v>
      </c>
      <c r="AH13" s="666"/>
      <c r="AI13" s="899"/>
      <c r="AJ13" s="887" t="s">
        <v>805</v>
      </c>
      <c r="AK13" s="906">
        <v>0</v>
      </c>
      <c r="AL13" s="687">
        <f>VLOOKUP(AJ13,Düngemittel!$B$6:$E$64,2,FALSE)*(VLOOKUP(AJ13,Düngemittel!$B$6:$E$64,3,FALSE))/100*AK13</f>
        <v>0</v>
      </c>
      <c r="AM13" s="687">
        <f>VLOOKUP(AJ13,Düngemittel!$B$6:$E$64,2,FALSE)*AK13</f>
        <v>0</v>
      </c>
      <c r="AN13" s="687">
        <f>VLOOKUP(AJ13,Düngemittel!$B$6:$E$64,4,FALSE)*AK13</f>
        <v>0</v>
      </c>
      <c r="AO13" s="666"/>
      <c r="AP13" s="853">
        <f t="shared" si="11"/>
        <v>0</v>
      </c>
      <c r="AQ13" s="308">
        <f t="shared" si="12"/>
        <v>0</v>
      </c>
      <c r="AR13" s="853">
        <f t="shared" si="13"/>
        <v>0</v>
      </c>
      <c r="AS13" s="790">
        <f t="shared" si="14"/>
        <v>0</v>
      </c>
      <c r="AT13" s="308">
        <f t="shared" si="15"/>
        <v>0</v>
      </c>
      <c r="AU13" s="786"/>
      <c r="AV13" s="853">
        <f t="shared" si="16"/>
        <v>0</v>
      </c>
      <c r="AW13" s="853">
        <f t="shared" si="17"/>
        <v>0</v>
      </c>
      <c r="AX13" s="853">
        <f t="shared" si="18"/>
        <v>0</v>
      </c>
      <c r="AY13" s="853">
        <f t="shared" si="19"/>
        <v>0</v>
      </c>
      <c r="AZ13" s="853">
        <f t="shared" si="20"/>
        <v>0</v>
      </c>
      <c r="BA13" s="351">
        <f t="shared" si="9"/>
        <v>0</v>
      </c>
      <c r="BB13" s="399">
        <f t="shared" si="10"/>
        <v>40</v>
      </c>
      <c r="BC13" s="3"/>
      <c r="BD13" s="80" t="s">
        <v>565</v>
      </c>
      <c r="BE13" s="80">
        <v>-40</v>
      </c>
      <c r="BG13" s="80" t="s">
        <v>556</v>
      </c>
      <c r="BH13" s="80">
        <v>-30</v>
      </c>
      <c r="BJ13" s="400" t="s">
        <v>783</v>
      </c>
      <c r="BK13" s="80">
        <v>0</v>
      </c>
    </row>
    <row r="14" spans="1:63" ht="28.5" customHeight="1" x14ac:dyDescent="0.25">
      <c r="A14" s="342">
        <v>5</v>
      </c>
      <c r="B14" s="1222">
        <v>0</v>
      </c>
      <c r="C14" s="1494"/>
      <c r="D14" s="1028" t="s">
        <v>578</v>
      </c>
      <c r="E14" s="1025">
        <f t="shared" si="0"/>
        <v>0</v>
      </c>
      <c r="F14" s="645" t="s">
        <v>567</v>
      </c>
      <c r="G14" s="436">
        <f t="shared" si="1"/>
        <v>0</v>
      </c>
      <c r="H14" s="437" t="s">
        <v>299</v>
      </c>
      <c r="I14" s="438">
        <f t="shared" si="2"/>
        <v>0</v>
      </c>
      <c r="J14" s="439" t="s">
        <v>559</v>
      </c>
      <c r="K14" s="394" t="s">
        <v>562</v>
      </c>
      <c r="L14" s="436">
        <f t="shared" si="3"/>
        <v>0</v>
      </c>
      <c r="M14" s="1023"/>
      <c r="N14" s="440">
        <f t="shared" si="4"/>
        <v>40</v>
      </c>
      <c r="O14" s="504">
        <f t="shared" si="5"/>
        <v>0</v>
      </c>
      <c r="P14" s="509">
        <v>10</v>
      </c>
      <c r="Q14" s="507">
        <f t="shared" si="6"/>
        <v>0</v>
      </c>
      <c r="R14" s="692"/>
      <c r="S14" s="312">
        <f t="shared" si="7"/>
        <v>5</v>
      </c>
      <c r="T14" s="668"/>
      <c r="U14" s="899"/>
      <c r="V14" s="887" t="s">
        <v>805</v>
      </c>
      <c r="W14" s="906">
        <v>0</v>
      </c>
      <c r="X14" s="687">
        <f>VLOOKUP(V14,Düngemittel!$B$6:$E$64,2,FALSE)*(VLOOKUP(V14,Düngemittel!$B$6:$E$64,3,FALSE))/100*W14</f>
        <v>0</v>
      </c>
      <c r="Y14" s="687">
        <f>VLOOKUP(V14,Düngemittel!$B$6:$E$64,2,FALSE)*W14</f>
        <v>0</v>
      </c>
      <c r="Z14" s="687">
        <f>VLOOKUP(V14,Düngemittel!$B$6:$E$64,4,FALSE)*W14</f>
        <v>0</v>
      </c>
      <c r="AA14" s="668"/>
      <c r="AB14" s="899"/>
      <c r="AC14" s="887" t="s">
        <v>805</v>
      </c>
      <c r="AD14" s="906">
        <v>0</v>
      </c>
      <c r="AE14" s="687">
        <f>VLOOKUP(AC14,Düngemittel!$B$6:$E$64,2,FALSE)*(VLOOKUP(AC14,Düngemittel!$B$6:$E$64,3,FALSE))/100*AD14</f>
        <v>0</v>
      </c>
      <c r="AF14" s="687">
        <f>VLOOKUP(AC14,Düngemittel!$B$6:$E$64,2,FALSE)*AD14</f>
        <v>0</v>
      </c>
      <c r="AG14" s="687">
        <f>VLOOKUP(AC14,Düngemittel!$B$6:$E$64,4,FALSE)*AD14</f>
        <v>0</v>
      </c>
      <c r="AH14" s="666"/>
      <c r="AI14" s="899"/>
      <c r="AJ14" s="887" t="s">
        <v>805</v>
      </c>
      <c r="AK14" s="906">
        <v>0</v>
      </c>
      <c r="AL14" s="687">
        <f>VLOOKUP(AJ14,Düngemittel!$B$6:$E$64,2,FALSE)*(VLOOKUP(AJ14,Düngemittel!$B$6:$E$64,3,FALSE))/100*AK14</f>
        <v>0</v>
      </c>
      <c r="AM14" s="687">
        <f>VLOOKUP(AJ14,Düngemittel!$B$6:$E$64,2,FALSE)*AK14</f>
        <v>0</v>
      </c>
      <c r="AN14" s="687">
        <f>VLOOKUP(AJ14,Düngemittel!$B$6:$E$64,4,FALSE)*AK14</f>
        <v>0</v>
      </c>
      <c r="AO14" s="666"/>
      <c r="AP14" s="853">
        <f t="shared" si="11"/>
        <v>0</v>
      </c>
      <c r="AQ14" s="308">
        <f t="shared" si="12"/>
        <v>0</v>
      </c>
      <c r="AR14" s="853">
        <f t="shared" si="13"/>
        <v>0</v>
      </c>
      <c r="AS14" s="790">
        <f t="shared" si="14"/>
        <v>0</v>
      </c>
      <c r="AT14" s="308">
        <f t="shared" si="15"/>
        <v>0</v>
      </c>
      <c r="AU14" s="786"/>
      <c r="AV14" s="853">
        <f t="shared" si="16"/>
        <v>0</v>
      </c>
      <c r="AW14" s="853">
        <f t="shared" si="17"/>
        <v>0</v>
      </c>
      <c r="AX14" s="853">
        <f t="shared" si="18"/>
        <v>0</v>
      </c>
      <c r="AY14" s="853">
        <f t="shared" si="19"/>
        <v>0</v>
      </c>
      <c r="AZ14" s="853">
        <f t="shared" si="20"/>
        <v>0</v>
      </c>
      <c r="BA14" s="351">
        <f t="shared" si="9"/>
        <v>0</v>
      </c>
      <c r="BB14" s="399">
        <f t="shared" si="10"/>
        <v>40</v>
      </c>
      <c r="BC14" s="3"/>
      <c r="BD14" s="80" t="s">
        <v>566</v>
      </c>
      <c r="BE14" s="80">
        <v>20</v>
      </c>
      <c r="BJ14" s="400" t="s">
        <v>784</v>
      </c>
      <c r="BK14" s="80">
        <v>-15</v>
      </c>
    </row>
    <row r="15" spans="1:63" ht="28.5" customHeight="1" x14ac:dyDescent="0.25">
      <c r="A15" s="342">
        <v>6</v>
      </c>
      <c r="B15" s="1222">
        <v>0</v>
      </c>
      <c r="C15" s="1494"/>
      <c r="D15" s="1028" t="s">
        <v>578</v>
      </c>
      <c r="E15" s="1025">
        <f t="shared" si="0"/>
        <v>0</v>
      </c>
      <c r="F15" s="645" t="s">
        <v>567</v>
      </c>
      <c r="G15" s="436">
        <f t="shared" si="1"/>
        <v>0</v>
      </c>
      <c r="H15" s="437" t="s">
        <v>299</v>
      </c>
      <c r="I15" s="438">
        <f t="shared" si="2"/>
        <v>0</v>
      </c>
      <c r="J15" s="439" t="s">
        <v>559</v>
      </c>
      <c r="K15" s="394" t="s">
        <v>562</v>
      </c>
      <c r="L15" s="436">
        <f t="shared" si="3"/>
        <v>0</v>
      </c>
      <c r="M15" s="1023"/>
      <c r="N15" s="440">
        <f t="shared" si="4"/>
        <v>40</v>
      </c>
      <c r="O15" s="504">
        <f t="shared" si="5"/>
        <v>0</v>
      </c>
      <c r="P15" s="509">
        <v>10</v>
      </c>
      <c r="Q15" s="507">
        <f t="shared" si="6"/>
        <v>0</v>
      </c>
      <c r="R15" s="692"/>
      <c r="S15" s="312">
        <f t="shared" si="7"/>
        <v>6</v>
      </c>
      <c r="T15" s="668"/>
      <c r="U15" s="899"/>
      <c r="V15" s="887" t="s">
        <v>805</v>
      </c>
      <c r="W15" s="906">
        <v>0</v>
      </c>
      <c r="X15" s="687">
        <f>VLOOKUP(V15,Düngemittel!$B$6:$E$64,2,FALSE)*(VLOOKUP(V15,Düngemittel!$B$6:$E$64,3,FALSE))/100*W15</f>
        <v>0</v>
      </c>
      <c r="Y15" s="687">
        <f>VLOOKUP(V15,Düngemittel!$B$6:$E$64,2,FALSE)*W15</f>
        <v>0</v>
      </c>
      <c r="Z15" s="687">
        <f>VLOOKUP(V15,Düngemittel!$B$6:$E$64,4,FALSE)*W15</f>
        <v>0</v>
      </c>
      <c r="AA15" s="668"/>
      <c r="AB15" s="899"/>
      <c r="AC15" s="887" t="s">
        <v>805</v>
      </c>
      <c r="AD15" s="906">
        <v>0</v>
      </c>
      <c r="AE15" s="687">
        <f>VLOOKUP(AC15,Düngemittel!$B$6:$E$64,2,FALSE)*(VLOOKUP(AC15,Düngemittel!$B$6:$E$64,3,FALSE))/100*AD15</f>
        <v>0</v>
      </c>
      <c r="AF15" s="687">
        <f>VLOOKUP(AC15,Düngemittel!$B$6:$E$64,2,FALSE)*AD15</f>
        <v>0</v>
      </c>
      <c r="AG15" s="687">
        <f>VLOOKUP(AC15,Düngemittel!$B$6:$E$64,4,FALSE)*AD15</f>
        <v>0</v>
      </c>
      <c r="AH15" s="666"/>
      <c r="AI15" s="899"/>
      <c r="AJ15" s="887" t="s">
        <v>805</v>
      </c>
      <c r="AK15" s="906">
        <v>0</v>
      </c>
      <c r="AL15" s="687">
        <f>VLOOKUP(AJ15,Düngemittel!$B$6:$E$64,2,FALSE)*(VLOOKUP(AJ15,Düngemittel!$B$6:$E$64,3,FALSE))/100*AK15</f>
        <v>0</v>
      </c>
      <c r="AM15" s="687">
        <f>VLOOKUP(AJ15,Düngemittel!$B$6:$E$64,2,FALSE)*AK15</f>
        <v>0</v>
      </c>
      <c r="AN15" s="687">
        <f>VLOOKUP(AJ15,Düngemittel!$B$6:$E$64,4,FALSE)*AK15</f>
        <v>0</v>
      </c>
      <c r="AO15" s="666"/>
      <c r="AP15" s="853">
        <f t="shared" si="11"/>
        <v>0</v>
      </c>
      <c r="AQ15" s="308">
        <f t="shared" si="12"/>
        <v>0</v>
      </c>
      <c r="AR15" s="853">
        <f t="shared" si="13"/>
        <v>0</v>
      </c>
      <c r="AS15" s="790">
        <f t="shared" si="14"/>
        <v>0</v>
      </c>
      <c r="AT15" s="308">
        <f t="shared" si="15"/>
        <v>0</v>
      </c>
      <c r="AU15" s="786"/>
      <c r="AV15" s="853">
        <f t="shared" si="16"/>
        <v>0</v>
      </c>
      <c r="AW15" s="853">
        <f t="shared" si="17"/>
        <v>0</v>
      </c>
      <c r="AX15" s="853">
        <f t="shared" si="18"/>
        <v>0</v>
      </c>
      <c r="AY15" s="853">
        <f t="shared" si="19"/>
        <v>0</v>
      </c>
      <c r="AZ15" s="853">
        <f t="shared" si="20"/>
        <v>0</v>
      </c>
      <c r="BA15" s="351">
        <f t="shared" si="9"/>
        <v>0</v>
      </c>
      <c r="BB15" s="399">
        <f t="shared" si="10"/>
        <v>40</v>
      </c>
      <c r="BC15"/>
      <c r="BD15" s="80" t="s">
        <v>567</v>
      </c>
      <c r="BE15" s="80">
        <v>0</v>
      </c>
      <c r="BJ15" s="400" t="s">
        <v>785</v>
      </c>
      <c r="BK15" s="80">
        <v>-20</v>
      </c>
    </row>
    <row r="16" spans="1:63" ht="28.5" customHeight="1" x14ac:dyDescent="0.25">
      <c r="A16" s="342">
        <v>7</v>
      </c>
      <c r="B16" s="1222">
        <v>0</v>
      </c>
      <c r="C16" s="1494"/>
      <c r="D16" s="1028" t="s">
        <v>578</v>
      </c>
      <c r="E16" s="1025">
        <f t="shared" si="0"/>
        <v>0</v>
      </c>
      <c r="F16" s="645" t="s">
        <v>567</v>
      </c>
      <c r="G16" s="436">
        <f t="shared" si="1"/>
        <v>0</v>
      </c>
      <c r="H16" s="437" t="s">
        <v>299</v>
      </c>
      <c r="I16" s="438">
        <f t="shared" si="2"/>
        <v>0</v>
      </c>
      <c r="J16" s="439" t="s">
        <v>559</v>
      </c>
      <c r="K16" s="394" t="s">
        <v>562</v>
      </c>
      <c r="L16" s="436">
        <f t="shared" si="3"/>
        <v>0</v>
      </c>
      <c r="M16" s="1023"/>
      <c r="N16" s="440">
        <f t="shared" si="4"/>
        <v>40</v>
      </c>
      <c r="O16" s="504">
        <f t="shared" si="5"/>
        <v>0</v>
      </c>
      <c r="P16" s="509">
        <v>10</v>
      </c>
      <c r="Q16" s="507">
        <f t="shared" si="6"/>
        <v>0</v>
      </c>
      <c r="R16" s="692"/>
      <c r="S16" s="312">
        <f t="shared" si="7"/>
        <v>7</v>
      </c>
      <c r="T16" s="668"/>
      <c r="U16" s="899"/>
      <c r="V16" s="887" t="s">
        <v>805</v>
      </c>
      <c r="W16" s="906">
        <v>0</v>
      </c>
      <c r="X16" s="687">
        <f>VLOOKUP(V16,Düngemittel!$B$6:$E$64,2,FALSE)*(VLOOKUP(V16,Düngemittel!$B$6:$E$64,3,FALSE))/100*W16</f>
        <v>0</v>
      </c>
      <c r="Y16" s="687">
        <f>VLOOKUP(V16,Düngemittel!$B$6:$E$64,2,FALSE)*W16</f>
        <v>0</v>
      </c>
      <c r="Z16" s="687">
        <f>VLOOKUP(V16,Düngemittel!$B$6:$E$64,4,FALSE)*W16</f>
        <v>0</v>
      </c>
      <c r="AA16" s="668"/>
      <c r="AB16" s="899"/>
      <c r="AC16" s="887" t="s">
        <v>805</v>
      </c>
      <c r="AD16" s="906">
        <v>0</v>
      </c>
      <c r="AE16" s="687">
        <f>VLOOKUP(AC16,Düngemittel!$B$6:$E$64,2,FALSE)*(VLOOKUP(AC16,Düngemittel!$B$6:$E$64,3,FALSE))/100*AD16</f>
        <v>0</v>
      </c>
      <c r="AF16" s="687">
        <f>VLOOKUP(AC16,Düngemittel!$B$6:$E$64,2,FALSE)*AD16</f>
        <v>0</v>
      </c>
      <c r="AG16" s="687">
        <f>VLOOKUP(AC16,Düngemittel!$B$6:$E$64,4,FALSE)*AD16</f>
        <v>0</v>
      </c>
      <c r="AH16" s="666"/>
      <c r="AI16" s="899"/>
      <c r="AJ16" s="887" t="s">
        <v>805</v>
      </c>
      <c r="AK16" s="906">
        <v>0</v>
      </c>
      <c r="AL16" s="687">
        <f>VLOOKUP(AJ16,Düngemittel!$B$6:$E$64,2,FALSE)*(VLOOKUP(AJ16,Düngemittel!$B$6:$E$64,3,FALSE))/100*AK16</f>
        <v>0</v>
      </c>
      <c r="AM16" s="687">
        <f>VLOOKUP(AJ16,Düngemittel!$B$6:$E$64,2,FALSE)*AK16</f>
        <v>0</v>
      </c>
      <c r="AN16" s="687">
        <f>VLOOKUP(AJ16,Düngemittel!$B$6:$E$64,4,FALSE)*AK16</f>
        <v>0</v>
      </c>
      <c r="AO16" s="666"/>
      <c r="AP16" s="853">
        <f t="shared" si="11"/>
        <v>0</v>
      </c>
      <c r="AQ16" s="308">
        <f t="shared" si="12"/>
        <v>0</v>
      </c>
      <c r="AR16" s="853">
        <f t="shared" si="13"/>
        <v>0</v>
      </c>
      <c r="AS16" s="790">
        <f t="shared" si="14"/>
        <v>0</v>
      </c>
      <c r="AT16" s="308">
        <f t="shared" si="15"/>
        <v>0</v>
      </c>
      <c r="AU16" s="786"/>
      <c r="AV16" s="853">
        <f t="shared" si="16"/>
        <v>0</v>
      </c>
      <c r="AW16" s="853">
        <f t="shared" si="17"/>
        <v>0</v>
      </c>
      <c r="AX16" s="853">
        <f t="shared" si="18"/>
        <v>0</v>
      </c>
      <c r="AY16" s="853">
        <f t="shared" si="19"/>
        <v>0</v>
      </c>
      <c r="AZ16" s="853">
        <f t="shared" si="20"/>
        <v>0</v>
      </c>
      <c r="BA16" s="351">
        <f t="shared" si="9"/>
        <v>0</v>
      </c>
      <c r="BB16" s="399">
        <f t="shared" si="10"/>
        <v>40</v>
      </c>
      <c r="BD16" s="80" t="s">
        <v>568</v>
      </c>
      <c r="BE16" s="80">
        <v>-40</v>
      </c>
      <c r="BJ16" s="400" t="s">
        <v>786</v>
      </c>
      <c r="BK16" s="80">
        <v>-40</v>
      </c>
    </row>
    <row r="17" spans="1:63" ht="28.5" customHeight="1" x14ac:dyDescent="0.25">
      <c r="A17" s="342">
        <v>8</v>
      </c>
      <c r="B17" s="1222">
        <v>0</v>
      </c>
      <c r="C17" s="1494"/>
      <c r="D17" s="1028" t="s">
        <v>578</v>
      </c>
      <c r="E17" s="1025">
        <f t="shared" si="0"/>
        <v>0</v>
      </c>
      <c r="F17" s="645" t="s">
        <v>567</v>
      </c>
      <c r="G17" s="436">
        <f t="shared" si="1"/>
        <v>0</v>
      </c>
      <c r="H17" s="437" t="s">
        <v>299</v>
      </c>
      <c r="I17" s="438">
        <f t="shared" si="2"/>
        <v>0</v>
      </c>
      <c r="J17" s="439" t="s">
        <v>559</v>
      </c>
      <c r="K17" s="394" t="s">
        <v>562</v>
      </c>
      <c r="L17" s="436">
        <f t="shared" si="3"/>
        <v>0</v>
      </c>
      <c r="M17" s="1023"/>
      <c r="N17" s="440">
        <f t="shared" si="4"/>
        <v>40</v>
      </c>
      <c r="O17" s="504">
        <f t="shared" si="5"/>
        <v>0</v>
      </c>
      <c r="P17" s="509">
        <v>10</v>
      </c>
      <c r="Q17" s="507">
        <f t="shared" si="6"/>
        <v>0</v>
      </c>
      <c r="R17" s="692"/>
      <c r="S17" s="312">
        <f t="shared" si="7"/>
        <v>8</v>
      </c>
      <c r="T17" s="668"/>
      <c r="U17" s="899"/>
      <c r="V17" s="887" t="s">
        <v>805</v>
      </c>
      <c r="W17" s="906">
        <v>0</v>
      </c>
      <c r="X17" s="687">
        <f>VLOOKUP(V17,Düngemittel!$B$6:$E$64,2,FALSE)*(VLOOKUP(V17,Düngemittel!$B$6:$E$64,3,FALSE))/100*W17</f>
        <v>0</v>
      </c>
      <c r="Y17" s="687">
        <f>VLOOKUP(V17,Düngemittel!$B$6:$E$64,2,FALSE)*W17</f>
        <v>0</v>
      </c>
      <c r="Z17" s="687">
        <f>VLOOKUP(V17,Düngemittel!$B$6:$E$64,4,FALSE)*W17</f>
        <v>0</v>
      </c>
      <c r="AA17" s="668"/>
      <c r="AB17" s="899"/>
      <c r="AC17" s="887" t="s">
        <v>805</v>
      </c>
      <c r="AD17" s="906">
        <v>0</v>
      </c>
      <c r="AE17" s="687">
        <f>VLOOKUP(AC17,Düngemittel!$B$6:$E$64,2,FALSE)*(VLOOKUP(AC17,Düngemittel!$B$6:$E$64,3,FALSE))/100*AD17</f>
        <v>0</v>
      </c>
      <c r="AF17" s="687">
        <f>VLOOKUP(AC17,Düngemittel!$B$6:$E$64,2,FALSE)*AD17</f>
        <v>0</v>
      </c>
      <c r="AG17" s="687">
        <f>VLOOKUP(AC17,Düngemittel!$B$6:$E$64,4,FALSE)*AD17</f>
        <v>0</v>
      </c>
      <c r="AH17" s="666"/>
      <c r="AI17" s="899"/>
      <c r="AJ17" s="887" t="s">
        <v>805</v>
      </c>
      <c r="AK17" s="906">
        <v>0</v>
      </c>
      <c r="AL17" s="687">
        <f>VLOOKUP(AJ17,Düngemittel!$B$6:$E$64,2,FALSE)*(VLOOKUP(AJ17,Düngemittel!$B$6:$E$64,3,FALSE))/100*AK17</f>
        <v>0</v>
      </c>
      <c r="AM17" s="687">
        <f>VLOOKUP(AJ17,Düngemittel!$B$6:$E$64,2,FALSE)*AK17</f>
        <v>0</v>
      </c>
      <c r="AN17" s="687">
        <f>VLOOKUP(AJ17,Düngemittel!$B$6:$E$64,4,FALSE)*AK17</f>
        <v>0</v>
      </c>
      <c r="AO17" s="666"/>
      <c r="AP17" s="853">
        <f t="shared" si="11"/>
        <v>0</v>
      </c>
      <c r="AQ17" s="308">
        <f t="shared" si="12"/>
        <v>0</v>
      </c>
      <c r="AR17" s="853">
        <f t="shared" si="13"/>
        <v>0</v>
      </c>
      <c r="AS17" s="790">
        <f t="shared" si="14"/>
        <v>0</v>
      </c>
      <c r="AT17" s="308">
        <f t="shared" si="15"/>
        <v>0</v>
      </c>
      <c r="AU17" s="786"/>
      <c r="AV17" s="853">
        <f t="shared" si="16"/>
        <v>0</v>
      </c>
      <c r="AW17" s="853">
        <f t="shared" si="17"/>
        <v>0</v>
      </c>
      <c r="AX17" s="853">
        <f t="shared" si="18"/>
        <v>0</v>
      </c>
      <c r="AY17" s="853">
        <f t="shared" si="19"/>
        <v>0</v>
      </c>
      <c r="AZ17" s="853">
        <f t="shared" si="20"/>
        <v>0</v>
      </c>
      <c r="BA17" s="351">
        <f t="shared" si="9"/>
        <v>0</v>
      </c>
      <c r="BB17" s="399">
        <f t="shared" si="10"/>
        <v>40</v>
      </c>
      <c r="BC17" s="3"/>
      <c r="BD17" s="80" t="s">
        <v>569</v>
      </c>
      <c r="BE17" s="80">
        <v>0</v>
      </c>
      <c r="BJ17" s="400" t="s">
        <v>787</v>
      </c>
      <c r="BK17" s="80">
        <v>-10</v>
      </c>
    </row>
    <row r="18" spans="1:63" ht="28.5" customHeight="1" x14ac:dyDescent="0.25">
      <c r="A18" s="342">
        <v>9</v>
      </c>
      <c r="B18" s="1222">
        <v>0</v>
      </c>
      <c r="C18" s="1494"/>
      <c r="D18" s="1028" t="s">
        <v>578</v>
      </c>
      <c r="E18" s="1025">
        <f t="shared" si="0"/>
        <v>0</v>
      </c>
      <c r="F18" s="645" t="s">
        <v>567</v>
      </c>
      <c r="G18" s="436">
        <f t="shared" si="1"/>
        <v>0</v>
      </c>
      <c r="H18" s="437" t="s">
        <v>299</v>
      </c>
      <c r="I18" s="438">
        <f t="shared" si="2"/>
        <v>0</v>
      </c>
      <c r="J18" s="439" t="s">
        <v>559</v>
      </c>
      <c r="K18" s="394" t="s">
        <v>562</v>
      </c>
      <c r="L18" s="436">
        <f t="shared" si="3"/>
        <v>0</v>
      </c>
      <c r="M18" s="1023"/>
      <c r="N18" s="440">
        <f t="shared" si="4"/>
        <v>40</v>
      </c>
      <c r="O18" s="504">
        <f t="shared" si="5"/>
        <v>0</v>
      </c>
      <c r="P18" s="509">
        <v>10</v>
      </c>
      <c r="Q18" s="507">
        <f t="shared" si="6"/>
        <v>0</v>
      </c>
      <c r="R18" s="692"/>
      <c r="S18" s="312">
        <f t="shared" si="7"/>
        <v>9</v>
      </c>
      <c r="T18" s="668"/>
      <c r="U18" s="899"/>
      <c r="V18" s="887" t="s">
        <v>805</v>
      </c>
      <c r="W18" s="906">
        <v>0</v>
      </c>
      <c r="X18" s="687">
        <f>VLOOKUP(V18,Düngemittel!$B$6:$E$64,2,FALSE)*(VLOOKUP(V18,Düngemittel!$B$6:$E$64,3,FALSE))/100*W18</f>
        <v>0</v>
      </c>
      <c r="Y18" s="687">
        <f>VLOOKUP(V18,Düngemittel!$B$6:$E$64,2,FALSE)*W18</f>
        <v>0</v>
      </c>
      <c r="Z18" s="687">
        <f>VLOOKUP(V18,Düngemittel!$B$6:$E$64,4,FALSE)*W18</f>
        <v>0</v>
      </c>
      <c r="AA18" s="668"/>
      <c r="AB18" s="899"/>
      <c r="AC18" s="887" t="s">
        <v>805</v>
      </c>
      <c r="AD18" s="906">
        <v>0</v>
      </c>
      <c r="AE18" s="687">
        <f>VLOOKUP(AC18,Düngemittel!$B$6:$E$64,2,FALSE)*(VLOOKUP(AC18,Düngemittel!$B$6:$E$64,3,FALSE))/100*AD18</f>
        <v>0</v>
      </c>
      <c r="AF18" s="687">
        <f>VLOOKUP(AC18,Düngemittel!$B$6:$E$64,2,FALSE)*AD18</f>
        <v>0</v>
      </c>
      <c r="AG18" s="687">
        <f>VLOOKUP(AC18,Düngemittel!$B$6:$E$64,4,FALSE)*AD18</f>
        <v>0</v>
      </c>
      <c r="AH18" s="666"/>
      <c r="AI18" s="899"/>
      <c r="AJ18" s="887" t="s">
        <v>805</v>
      </c>
      <c r="AK18" s="906">
        <v>0</v>
      </c>
      <c r="AL18" s="687">
        <f>VLOOKUP(AJ18,Düngemittel!$B$6:$E$64,2,FALSE)*(VLOOKUP(AJ18,Düngemittel!$B$6:$E$64,3,FALSE))/100*AK18</f>
        <v>0</v>
      </c>
      <c r="AM18" s="687">
        <f>VLOOKUP(AJ18,Düngemittel!$B$6:$E$64,2,FALSE)*AK18</f>
        <v>0</v>
      </c>
      <c r="AN18" s="687">
        <f>VLOOKUP(AJ18,Düngemittel!$B$6:$E$64,4,FALSE)*AK18</f>
        <v>0</v>
      </c>
      <c r="AO18" s="666"/>
      <c r="AP18" s="853">
        <f t="shared" si="11"/>
        <v>0</v>
      </c>
      <c r="AQ18" s="308">
        <f t="shared" si="12"/>
        <v>0</v>
      </c>
      <c r="AR18" s="853">
        <f t="shared" si="13"/>
        <v>0</v>
      </c>
      <c r="AS18" s="790">
        <f t="shared" si="14"/>
        <v>0</v>
      </c>
      <c r="AT18" s="308">
        <f t="shared" si="15"/>
        <v>0</v>
      </c>
      <c r="AU18" s="786"/>
      <c r="AV18" s="853">
        <f t="shared" si="16"/>
        <v>0</v>
      </c>
      <c r="AW18" s="853">
        <f t="shared" si="17"/>
        <v>0</v>
      </c>
      <c r="AX18" s="853">
        <f t="shared" si="18"/>
        <v>0</v>
      </c>
      <c r="AY18" s="853">
        <f t="shared" si="19"/>
        <v>0</v>
      </c>
      <c r="AZ18" s="853">
        <f t="shared" si="20"/>
        <v>0</v>
      </c>
      <c r="BA18" s="351">
        <f t="shared" si="9"/>
        <v>0</v>
      </c>
      <c r="BB18" s="399">
        <f t="shared" si="10"/>
        <v>40</v>
      </c>
      <c r="BC18" s="3"/>
      <c r="BD18" s="80" t="s">
        <v>706</v>
      </c>
      <c r="BE18" s="80">
        <v>-40</v>
      </c>
      <c r="BJ18" s="400" t="s">
        <v>789</v>
      </c>
      <c r="BK18" s="80">
        <v>-25</v>
      </c>
    </row>
    <row r="19" spans="1:63" ht="28.5" customHeight="1" x14ac:dyDescent="0.25">
      <c r="A19" s="342">
        <v>10</v>
      </c>
      <c r="B19" s="1222">
        <v>0</v>
      </c>
      <c r="C19" s="1494"/>
      <c r="D19" s="1028" t="s">
        <v>578</v>
      </c>
      <c r="E19" s="1025">
        <f t="shared" si="0"/>
        <v>0</v>
      </c>
      <c r="F19" s="645" t="s">
        <v>567</v>
      </c>
      <c r="G19" s="436">
        <f t="shared" si="1"/>
        <v>0</v>
      </c>
      <c r="H19" s="437" t="s">
        <v>299</v>
      </c>
      <c r="I19" s="438">
        <f t="shared" si="2"/>
        <v>0</v>
      </c>
      <c r="J19" s="439" t="s">
        <v>559</v>
      </c>
      <c r="K19" s="394" t="s">
        <v>562</v>
      </c>
      <c r="L19" s="436">
        <f t="shared" si="3"/>
        <v>0</v>
      </c>
      <c r="M19" s="1023"/>
      <c r="N19" s="440">
        <f t="shared" si="4"/>
        <v>40</v>
      </c>
      <c r="O19" s="504">
        <f t="shared" si="5"/>
        <v>0</v>
      </c>
      <c r="P19" s="509">
        <v>10</v>
      </c>
      <c r="Q19" s="507">
        <f t="shared" si="6"/>
        <v>0</v>
      </c>
      <c r="R19" s="692"/>
      <c r="S19" s="312">
        <f t="shared" si="7"/>
        <v>10</v>
      </c>
      <c r="T19" s="668"/>
      <c r="U19" s="899"/>
      <c r="V19" s="887" t="s">
        <v>805</v>
      </c>
      <c r="W19" s="906">
        <v>0</v>
      </c>
      <c r="X19" s="687">
        <f>VLOOKUP(V19,Düngemittel!$B$6:$E$64,2,FALSE)*(VLOOKUP(V19,Düngemittel!$B$6:$E$64,3,FALSE))/100*W19</f>
        <v>0</v>
      </c>
      <c r="Y19" s="687">
        <f>VLOOKUP(V19,Düngemittel!$B$6:$E$64,2,FALSE)*W19</f>
        <v>0</v>
      </c>
      <c r="Z19" s="687">
        <f>VLOOKUP(V19,Düngemittel!$B$6:$E$64,4,FALSE)*W19</f>
        <v>0</v>
      </c>
      <c r="AA19" s="668"/>
      <c r="AB19" s="899"/>
      <c r="AC19" s="887" t="s">
        <v>805</v>
      </c>
      <c r="AD19" s="906">
        <v>0</v>
      </c>
      <c r="AE19" s="687">
        <f>VLOOKUP(AC19,Düngemittel!$B$6:$E$64,2,FALSE)*(VLOOKUP(AC19,Düngemittel!$B$6:$E$64,3,FALSE))/100*AD19</f>
        <v>0</v>
      </c>
      <c r="AF19" s="687">
        <f>VLOOKUP(AC19,Düngemittel!$B$6:$E$64,2,FALSE)*AD19</f>
        <v>0</v>
      </c>
      <c r="AG19" s="687">
        <f>VLOOKUP(AC19,Düngemittel!$B$6:$E$64,4,FALSE)*AD19</f>
        <v>0</v>
      </c>
      <c r="AH19" s="666"/>
      <c r="AI19" s="899"/>
      <c r="AJ19" s="887" t="s">
        <v>805</v>
      </c>
      <c r="AK19" s="906">
        <v>0</v>
      </c>
      <c r="AL19" s="687">
        <f>VLOOKUP(AJ19,Düngemittel!$B$6:$E$64,2,FALSE)*(VLOOKUP(AJ19,Düngemittel!$B$6:$E$64,3,FALSE))/100*AK19</f>
        <v>0</v>
      </c>
      <c r="AM19" s="687">
        <f>VLOOKUP(AJ19,Düngemittel!$B$6:$E$64,2,FALSE)*AK19</f>
        <v>0</v>
      </c>
      <c r="AN19" s="687">
        <f>VLOOKUP(AJ19,Düngemittel!$B$6:$E$64,4,FALSE)*AK19</f>
        <v>0</v>
      </c>
      <c r="AO19" s="666"/>
      <c r="AP19" s="853">
        <f t="shared" si="11"/>
        <v>0</v>
      </c>
      <c r="AQ19" s="308">
        <f t="shared" si="12"/>
        <v>0</v>
      </c>
      <c r="AR19" s="853">
        <f t="shared" si="13"/>
        <v>0</v>
      </c>
      <c r="AS19" s="790">
        <f t="shared" si="14"/>
        <v>0</v>
      </c>
      <c r="AT19" s="308">
        <f t="shared" si="15"/>
        <v>0</v>
      </c>
      <c r="AU19" s="786"/>
      <c r="AV19" s="853">
        <f t="shared" si="16"/>
        <v>0</v>
      </c>
      <c r="AW19" s="853">
        <f t="shared" si="17"/>
        <v>0</v>
      </c>
      <c r="AX19" s="853">
        <f t="shared" si="18"/>
        <v>0</v>
      </c>
      <c r="AY19" s="853">
        <f t="shared" si="19"/>
        <v>0</v>
      </c>
      <c r="AZ19" s="853">
        <f t="shared" si="20"/>
        <v>0</v>
      </c>
      <c r="BA19" s="351">
        <f t="shared" si="9"/>
        <v>0</v>
      </c>
      <c r="BB19" s="399">
        <f t="shared" si="10"/>
        <v>40</v>
      </c>
      <c r="BC19" s="3"/>
      <c r="BD19" s="80" t="s">
        <v>778</v>
      </c>
      <c r="BE19" s="80">
        <v>0</v>
      </c>
      <c r="BJ19" s="400" t="s">
        <v>788</v>
      </c>
      <c r="BK19" s="80">
        <v>-50</v>
      </c>
    </row>
    <row r="20" spans="1:63" ht="28.5" customHeight="1" x14ac:dyDescent="0.25">
      <c r="A20" s="342">
        <v>11</v>
      </c>
      <c r="B20" s="1222">
        <v>0</v>
      </c>
      <c r="C20" s="1494"/>
      <c r="D20" s="1028" t="s">
        <v>578</v>
      </c>
      <c r="E20" s="1025">
        <f t="shared" si="0"/>
        <v>0</v>
      </c>
      <c r="F20" s="645" t="s">
        <v>567</v>
      </c>
      <c r="G20" s="436">
        <f t="shared" si="1"/>
        <v>0</v>
      </c>
      <c r="H20" s="437" t="s">
        <v>299</v>
      </c>
      <c r="I20" s="438">
        <f t="shared" si="2"/>
        <v>0</v>
      </c>
      <c r="J20" s="439" t="s">
        <v>559</v>
      </c>
      <c r="K20" s="394" t="s">
        <v>562</v>
      </c>
      <c r="L20" s="436">
        <f t="shared" si="3"/>
        <v>0</v>
      </c>
      <c r="M20" s="1023"/>
      <c r="N20" s="440">
        <f t="shared" si="4"/>
        <v>40</v>
      </c>
      <c r="O20" s="504">
        <f t="shared" si="5"/>
        <v>0</v>
      </c>
      <c r="P20" s="509">
        <v>10</v>
      </c>
      <c r="Q20" s="507">
        <f t="shared" si="6"/>
        <v>0</v>
      </c>
      <c r="R20" s="692"/>
      <c r="S20" s="312">
        <f t="shared" si="7"/>
        <v>11</v>
      </c>
      <c r="T20" s="668"/>
      <c r="U20" s="899"/>
      <c r="V20" s="887" t="s">
        <v>805</v>
      </c>
      <c r="W20" s="906">
        <v>0</v>
      </c>
      <c r="X20" s="687">
        <f>VLOOKUP(V20,Düngemittel!$B$6:$E$64,2,FALSE)*(VLOOKUP(V20,Düngemittel!$B$6:$E$64,3,FALSE))/100*W20</f>
        <v>0</v>
      </c>
      <c r="Y20" s="687">
        <f>VLOOKUP(V20,Düngemittel!$B$6:$E$64,2,FALSE)*W20</f>
        <v>0</v>
      </c>
      <c r="Z20" s="687">
        <f>VLOOKUP(V20,Düngemittel!$B$6:$E$64,4,FALSE)*W20</f>
        <v>0</v>
      </c>
      <c r="AA20" s="668"/>
      <c r="AB20" s="899"/>
      <c r="AC20" s="887" t="s">
        <v>805</v>
      </c>
      <c r="AD20" s="906">
        <v>0</v>
      </c>
      <c r="AE20" s="687">
        <f>VLOOKUP(AC20,Düngemittel!$B$6:$E$64,2,FALSE)*(VLOOKUP(AC20,Düngemittel!$B$6:$E$64,3,FALSE))/100*AD20</f>
        <v>0</v>
      </c>
      <c r="AF20" s="687">
        <f>VLOOKUP(AC20,Düngemittel!$B$6:$E$64,2,FALSE)*AD20</f>
        <v>0</v>
      </c>
      <c r="AG20" s="687">
        <f>VLOOKUP(AC20,Düngemittel!$B$6:$E$64,4,FALSE)*AD20</f>
        <v>0</v>
      </c>
      <c r="AH20" s="666"/>
      <c r="AI20" s="899"/>
      <c r="AJ20" s="887" t="s">
        <v>805</v>
      </c>
      <c r="AK20" s="906">
        <v>0</v>
      </c>
      <c r="AL20" s="687">
        <f>VLOOKUP(AJ20,Düngemittel!$B$6:$E$64,2,FALSE)*(VLOOKUP(AJ20,Düngemittel!$B$6:$E$64,3,FALSE))/100*AK20</f>
        <v>0</v>
      </c>
      <c r="AM20" s="687">
        <f>VLOOKUP(AJ20,Düngemittel!$B$6:$E$64,2,FALSE)*AK20</f>
        <v>0</v>
      </c>
      <c r="AN20" s="687">
        <f>VLOOKUP(AJ20,Düngemittel!$B$6:$E$64,4,FALSE)*AK20</f>
        <v>0</v>
      </c>
      <c r="AO20" s="666"/>
      <c r="AP20" s="853">
        <f t="shared" si="11"/>
        <v>0</v>
      </c>
      <c r="AQ20" s="308">
        <f t="shared" si="12"/>
        <v>0</v>
      </c>
      <c r="AR20" s="853">
        <f t="shared" si="13"/>
        <v>0</v>
      </c>
      <c r="AS20" s="790">
        <f t="shared" si="14"/>
        <v>0</v>
      </c>
      <c r="AT20" s="308">
        <f t="shared" si="15"/>
        <v>0</v>
      </c>
      <c r="AU20" s="786"/>
      <c r="AV20" s="853">
        <f t="shared" si="16"/>
        <v>0</v>
      </c>
      <c r="AW20" s="853">
        <f t="shared" si="17"/>
        <v>0</v>
      </c>
      <c r="AX20" s="853">
        <f t="shared" si="18"/>
        <v>0</v>
      </c>
      <c r="AY20" s="853">
        <f t="shared" si="19"/>
        <v>0</v>
      </c>
      <c r="AZ20" s="853">
        <f t="shared" si="20"/>
        <v>0</v>
      </c>
      <c r="BA20" s="351">
        <f t="shared" si="9"/>
        <v>0</v>
      </c>
      <c r="BB20" s="399">
        <f t="shared" si="10"/>
        <v>40</v>
      </c>
      <c r="BC20" s="3"/>
      <c r="BD20" s="80" t="s">
        <v>779</v>
      </c>
      <c r="BE20" s="80">
        <v>-40</v>
      </c>
      <c r="BJ20" s="400" t="s">
        <v>558</v>
      </c>
      <c r="BK20" s="80">
        <v>-10</v>
      </c>
    </row>
    <row r="21" spans="1:63" ht="28.5" customHeight="1" x14ac:dyDescent="0.25">
      <c r="A21" s="342">
        <v>12</v>
      </c>
      <c r="B21" s="1222">
        <v>0</v>
      </c>
      <c r="C21" s="1494"/>
      <c r="D21" s="1028" t="s">
        <v>578</v>
      </c>
      <c r="E21" s="1025">
        <f t="shared" si="0"/>
        <v>0</v>
      </c>
      <c r="F21" s="645" t="s">
        <v>567</v>
      </c>
      <c r="G21" s="436">
        <f t="shared" si="1"/>
        <v>0</v>
      </c>
      <c r="H21" s="437" t="s">
        <v>299</v>
      </c>
      <c r="I21" s="438">
        <f t="shared" si="2"/>
        <v>0</v>
      </c>
      <c r="J21" s="439" t="s">
        <v>559</v>
      </c>
      <c r="K21" s="394" t="s">
        <v>562</v>
      </c>
      <c r="L21" s="436">
        <f t="shared" si="3"/>
        <v>0</v>
      </c>
      <c r="M21" s="1023"/>
      <c r="N21" s="440">
        <f t="shared" si="4"/>
        <v>40</v>
      </c>
      <c r="O21" s="504">
        <f t="shared" si="5"/>
        <v>0</v>
      </c>
      <c r="P21" s="509">
        <v>10</v>
      </c>
      <c r="Q21" s="507">
        <f t="shared" si="6"/>
        <v>0</v>
      </c>
      <c r="R21" s="692"/>
      <c r="S21" s="312">
        <f t="shared" si="7"/>
        <v>12</v>
      </c>
      <c r="T21" s="668"/>
      <c r="U21" s="899"/>
      <c r="V21" s="887" t="s">
        <v>805</v>
      </c>
      <c r="W21" s="906">
        <v>0</v>
      </c>
      <c r="X21" s="687">
        <f>VLOOKUP(V21,Düngemittel!$B$6:$E$64,2,FALSE)*(VLOOKUP(V21,Düngemittel!$B$6:$E$64,3,FALSE))/100*W21</f>
        <v>0</v>
      </c>
      <c r="Y21" s="687">
        <f>VLOOKUP(V21,Düngemittel!$B$6:$E$64,2,FALSE)*W21</f>
        <v>0</v>
      </c>
      <c r="Z21" s="687">
        <f>VLOOKUP(V21,Düngemittel!$B$6:$E$64,4,FALSE)*W21</f>
        <v>0</v>
      </c>
      <c r="AA21" s="668"/>
      <c r="AB21" s="899"/>
      <c r="AC21" s="887" t="s">
        <v>805</v>
      </c>
      <c r="AD21" s="906">
        <v>0</v>
      </c>
      <c r="AE21" s="687">
        <f>VLOOKUP(AC21,Düngemittel!$B$6:$E$64,2,FALSE)*(VLOOKUP(AC21,Düngemittel!$B$6:$E$64,3,FALSE))/100*AD21</f>
        <v>0</v>
      </c>
      <c r="AF21" s="687">
        <f>VLOOKUP(AC21,Düngemittel!$B$6:$E$64,2,FALSE)*AD21</f>
        <v>0</v>
      </c>
      <c r="AG21" s="687">
        <f>VLOOKUP(AC21,Düngemittel!$B$6:$E$64,4,FALSE)*AD21</f>
        <v>0</v>
      </c>
      <c r="AH21" s="666"/>
      <c r="AI21" s="899"/>
      <c r="AJ21" s="887" t="s">
        <v>805</v>
      </c>
      <c r="AK21" s="906">
        <v>0</v>
      </c>
      <c r="AL21" s="687">
        <f>VLOOKUP(AJ21,Düngemittel!$B$6:$E$64,2,FALSE)*(VLOOKUP(AJ21,Düngemittel!$B$6:$E$64,3,FALSE))/100*AK21</f>
        <v>0</v>
      </c>
      <c r="AM21" s="687">
        <f>VLOOKUP(AJ21,Düngemittel!$B$6:$E$64,2,FALSE)*AK21</f>
        <v>0</v>
      </c>
      <c r="AN21" s="687">
        <f>VLOOKUP(AJ21,Düngemittel!$B$6:$E$64,4,FALSE)*AK21</f>
        <v>0</v>
      </c>
      <c r="AO21" s="666"/>
      <c r="AP21" s="853">
        <f t="shared" si="11"/>
        <v>0</v>
      </c>
      <c r="AQ21" s="308">
        <f t="shared" si="12"/>
        <v>0</v>
      </c>
      <c r="AR21" s="853">
        <f t="shared" si="13"/>
        <v>0</v>
      </c>
      <c r="AS21" s="790">
        <f t="shared" si="14"/>
        <v>0</v>
      </c>
      <c r="AT21" s="308">
        <f t="shared" si="15"/>
        <v>0</v>
      </c>
      <c r="AU21" s="786"/>
      <c r="AV21" s="853">
        <f t="shared" si="16"/>
        <v>0</v>
      </c>
      <c r="AW21" s="853">
        <f t="shared" si="17"/>
        <v>0</v>
      </c>
      <c r="AX21" s="853">
        <f t="shared" si="18"/>
        <v>0</v>
      </c>
      <c r="AY21" s="853">
        <f t="shared" si="19"/>
        <v>0</v>
      </c>
      <c r="AZ21" s="853">
        <f t="shared" si="20"/>
        <v>0</v>
      </c>
      <c r="BA21" s="351">
        <f t="shared" si="9"/>
        <v>0</v>
      </c>
      <c r="BB21" s="399">
        <f t="shared" si="10"/>
        <v>40</v>
      </c>
      <c r="BC21" s="3"/>
      <c r="BJ21" s="80" t="s">
        <v>790</v>
      </c>
      <c r="BK21" s="80">
        <v>-10</v>
      </c>
    </row>
    <row r="22" spans="1:63" ht="28.5" customHeight="1" x14ac:dyDescent="0.25">
      <c r="A22" s="342">
        <v>13</v>
      </c>
      <c r="B22" s="1222">
        <v>0</v>
      </c>
      <c r="C22" s="1494"/>
      <c r="D22" s="1028" t="s">
        <v>578</v>
      </c>
      <c r="E22" s="1025">
        <f t="shared" si="0"/>
        <v>0</v>
      </c>
      <c r="F22" s="645" t="s">
        <v>567</v>
      </c>
      <c r="G22" s="436">
        <f t="shared" si="1"/>
        <v>0</v>
      </c>
      <c r="H22" s="437" t="s">
        <v>299</v>
      </c>
      <c r="I22" s="438">
        <f t="shared" si="2"/>
        <v>0</v>
      </c>
      <c r="J22" s="439" t="s">
        <v>559</v>
      </c>
      <c r="K22" s="394" t="s">
        <v>562</v>
      </c>
      <c r="L22" s="436">
        <f t="shared" si="3"/>
        <v>0</v>
      </c>
      <c r="M22" s="1023"/>
      <c r="N22" s="440">
        <f t="shared" si="4"/>
        <v>40</v>
      </c>
      <c r="O22" s="504">
        <f t="shared" si="5"/>
        <v>0</v>
      </c>
      <c r="P22" s="509">
        <v>10</v>
      </c>
      <c r="Q22" s="507">
        <f t="shared" si="6"/>
        <v>0</v>
      </c>
      <c r="R22" s="692"/>
      <c r="S22" s="312">
        <f t="shared" si="7"/>
        <v>13</v>
      </c>
      <c r="T22" s="668"/>
      <c r="U22" s="899"/>
      <c r="V22" s="887" t="s">
        <v>805</v>
      </c>
      <c r="W22" s="906">
        <v>0</v>
      </c>
      <c r="X22" s="687">
        <f>VLOOKUP(V22,Düngemittel!$B$6:$E$64,2,FALSE)*(VLOOKUP(V22,Düngemittel!$B$6:$E$64,3,FALSE))/100*W22</f>
        <v>0</v>
      </c>
      <c r="Y22" s="687">
        <f>VLOOKUP(V22,Düngemittel!$B$6:$E$64,2,FALSE)*W22</f>
        <v>0</v>
      </c>
      <c r="Z22" s="687">
        <f>VLOOKUP(V22,Düngemittel!$B$6:$E$64,4,FALSE)*W22</f>
        <v>0</v>
      </c>
      <c r="AA22" s="668"/>
      <c r="AB22" s="899"/>
      <c r="AC22" s="887" t="s">
        <v>805</v>
      </c>
      <c r="AD22" s="906">
        <v>0</v>
      </c>
      <c r="AE22" s="687">
        <f>VLOOKUP(AC22,Düngemittel!$B$6:$E$64,2,FALSE)*(VLOOKUP(AC22,Düngemittel!$B$6:$E$64,3,FALSE))/100*AD22</f>
        <v>0</v>
      </c>
      <c r="AF22" s="687">
        <f>VLOOKUP(AC22,Düngemittel!$B$6:$E$64,2,FALSE)*AD22</f>
        <v>0</v>
      </c>
      <c r="AG22" s="687">
        <f>VLOOKUP(AC22,Düngemittel!$B$6:$E$64,4,FALSE)*AD22</f>
        <v>0</v>
      </c>
      <c r="AH22" s="666"/>
      <c r="AI22" s="899"/>
      <c r="AJ22" s="887" t="s">
        <v>805</v>
      </c>
      <c r="AK22" s="906">
        <v>0</v>
      </c>
      <c r="AL22" s="687">
        <f>VLOOKUP(AJ22,Düngemittel!$B$6:$E$64,2,FALSE)*(VLOOKUP(AJ22,Düngemittel!$B$6:$E$64,3,FALSE))/100*AK22</f>
        <v>0</v>
      </c>
      <c r="AM22" s="687">
        <f>VLOOKUP(AJ22,Düngemittel!$B$6:$E$64,2,FALSE)*AK22</f>
        <v>0</v>
      </c>
      <c r="AN22" s="687">
        <f>VLOOKUP(AJ22,Düngemittel!$B$6:$E$64,4,FALSE)*AK22</f>
        <v>0</v>
      </c>
      <c r="AO22" s="666"/>
      <c r="AP22" s="853">
        <f t="shared" si="11"/>
        <v>0</v>
      </c>
      <c r="AQ22" s="308">
        <f t="shared" si="12"/>
        <v>0</v>
      </c>
      <c r="AR22" s="853">
        <f t="shared" si="13"/>
        <v>0</v>
      </c>
      <c r="AS22" s="790">
        <f t="shared" si="14"/>
        <v>0</v>
      </c>
      <c r="AT22" s="308">
        <f t="shared" si="15"/>
        <v>0</v>
      </c>
      <c r="AU22" s="786"/>
      <c r="AV22" s="853">
        <f t="shared" si="16"/>
        <v>0</v>
      </c>
      <c r="AW22" s="853">
        <f t="shared" si="17"/>
        <v>0</v>
      </c>
      <c r="AX22" s="853">
        <f t="shared" si="18"/>
        <v>0</v>
      </c>
      <c r="AY22" s="853">
        <f t="shared" si="19"/>
        <v>0</v>
      </c>
      <c r="AZ22" s="853">
        <f t="shared" si="20"/>
        <v>0</v>
      </c>
      <c r="BA22" s="351">
        <f t="shared" si="9"/>
        <v>0</v>
      </c>
      <c r="BB22" s="399">
        <f t="shared" si="10"/>
        <v>40</v>
      </c>
      <c r="BC22" s="3"/>
      <c r="BJ22" s="80" t="s">
        <v>559</v>
      </c>
      <c r="BK22" s="80">
        <v>0</v>
      </c>
    </row>
    <row r="23" spans="1:63" ht="28.5" customHeight="1" x14ac:dyDescent="0.25">
      <c r="A23" s="342">
        <v>14</v>
      </c>
      <c r="B23" s="1222">
        <v>0</v>
      </c>
      <c r="C23" s="1494"/>
      <c r="D23" s="1028" t="s">
        <v>578</v>
      </c>
      <c r="E23" s="1025">
        <f t="shared" si="0"/>
        <v>0</v>
      </c>
      <c r="F23" s="645" t="s">
        <v>567</v>
      </c>
      <c r="G23" s="436">
        <f t="shared" si="1"/>
        <v>0</v>
      </c>
      <c r="H23" s="437" t="s">
        <v>299</v>
      </c>
      <c r="I23" s="438">
        <f t="shared" si="2"/>
        <v>0</v>
      </c>
      <c r="J23" s="439" t="s">
        <v>559</v>
      </c>
      <c r="K23" s="394" t="s">
        <v>562</v>
      </c>
      <c r="L23" s="436">
        <f t="shared" si="3"/>
        <v>0</v>
      </c>
      <c r="M23" s="1023"/>
      <c r="N23" s="440">
        <f t="shared" si="4"/>
        <v>40</v>
      </c>
      <c r="O23" s="504">
        <f t="shared" si="5"/>
        <v>0</v>
      </c>
      <c r="P23" s="509">
        <v>10</v>
      </c>
      <c r="Q23" s="507">
        <f t="shared" si="6"/>
        <v>0</v>
      </c>
      <c r="R23" s="692"/>
      <c r="S23" s="312">
        <f t="shared" si="7"/>
        <v>14</v>
      </c>
      <c r="T23" s="668"/>
      <c r="U23" s="899"/>
      <c r="V23" s="887" t="s">
        <v>805</v>
      </c>
      <c r="W23" s="906">
        <v>0</v>
      </c>
      <c r="X23" s="687">
        <f>VLOOKUP(V23,Düngemittel!$B$6:$E$64,2,FALSE)*(VLOOKUP(V23,Düngemittel!$B$6:$E$64,3,FALSE))/100*W23</f>
        <v>0</v>
      </c>
      <c r="Y23" s="687">
        <f>VLOOKUP(V23,Düngemittel!$B$6:$E$64,2,FALSE)*W23</f>
        <v>0</v>
      </c>
      <c r="Z23" s="687">
        <f>VLOOKUP(V23,Düngemittel!$B$6:$E$64,4,FALSE)*W23</f>
        <v>0</v>
      </c>
      <c r="AA23" s="668"/>
      <c r="AB23" s="899"/>
      <c r="AC23" s="887" t="s">
        <v>805</v>
      </c>
      <c r="AD23" s="906">
        <v>0</v>
      </c>
      <c r="AE23" s="687">
        <f>VLOOKUP(AC23,Düngemittel!$B$6:$E$64,2,FALSE)*(VLOOKUP(AC23,Düngemittel!$B$6:$E$64,3,FALSE))/100*AD23</f>
        <v>0</v>
      </c>
      <c r="AF23" s="687">
        <f>VLOOKUP(AC23,Düngemittel!$B$6:$E$64,2,FALSE)*AD23</f>
        <v>0</v>
      </c>
      <c r="AG23" s="687">
        <f>VLOOKUP(AC23,Düngemittel!$B$6:$E$64,4,FALSE)*AD23</f>
        <v>0</v>
      </c>
      <c r="AH23" s="666"/>
      <c r="AI23" s="899"/>
      <c r="AJ23" s="887" t="s">
        <v>805</v>
      </c>
      <c r="AK23" s="906">
        <v>0</v>
      </c>
      <c r="AL23" s="687">
        <f>VLOOKUP(AJ23,Düngemittel!$B$6:$E$64,2,FALSE)*(VLOOKUP(AJ23,Düngemittel!$B$6:$E$64,3,FALSE))/100*AK23</f>
        <v>0</v>
      </c>
      <c r="AM23" s="687">
        <f>VLOOKUP(AJ23,Düngemittel!$B$6:$E$64,2,FALSE)*AK23</f>
        <v>0</v>
      </c>
      <c r="AN23" s="687">
        <f>VLOOKUP(AJ23,Düngemittel!$B$6:$E$64,4,FALSE)*AK23</f>
        <v>0</v>
      </c>
      <c r="AO23" s="666"/>
      <c r="AP23" s="853">
        <f t="shared" si="11"/>
        <v>0</v>
      </c>
      <c r="AQ23" s="308">
        <f t="shared" si="12"/>
        <v>0</v>
      </c>
      <c r="AR23" s="853">
        <f t="shared" si="13"/>
        <v>0</v>
      </c>
      <c r="AS23" s="790">
        <f t="shared" si="14"/>
        <v>0</v>
      </c>
      <c r="AT23" s="308">
        <f t="shared" si="15"/>
        <v>0</v>
      </c>
      <c r="AU23" s="786"/>
      <c r="AV23" s="853">
        <f t="shared" si="16"/>
        <v>0</v>
      </c>
      <c r="AW23" s="853">
        <f t="shared" si="17"/>
        <v>0</v>
      </c>
      <c r="AX23" s="853">
        <f t="shared" si="18"/>
        <v>0</v>
      </c>
      <c r="AY23" s="853">
        <f t="shared" si="19"/>
        <v>0</v>
      </c>
      <c r="AZ23" s="853">
        <f t="shared" si="20"/>
        <v>0</v>
      </c>
      <c r="BA23" s="351">
        <f t="shared" si="9"/>
        <v>0</v>
      </c>
      <c r="BB23" s="399">
        <f t="shared" si="10"/>
        <v>40</v>
      </c>
      <c r="BC23" s="3"/>
      <c r="BJ23" s="400"/>
    </row>
    <row r="24" spans="1:63" ht="28.5" customHeight="1" x14ac:dyDescent="0.25">
      <c r="A24" s="342">
        <v>15</v>
      </c>
      <c r="B24" s="1222">
        <v>0</v>
      </c>
      <c r="C24" s="1494"/>
      <c r="D24" s="1028" t="s">
        <v>578</v>
      </c>
      <c r="E24" s="1025">
        <f t="shared" si="0"/>
        <v>0</v>
      </c>
      <c r="F24" s="645" t="s">
        <v>567</v>
      </c>
      <c r="G24" s="436">
        <f t="shared" si="1"/>
        <v>0</v>
      </c>
      <c r="H24" s="437" t="s">
        <v>299</v>
      </c>
      <c r="I24" s="438">
        <f t="shared" si="2"/>
        <v>0</v>
      </c>
      <c r="J24" s="439" t="s">
        <v>559</v>
      </c>
      <c r="K24" s="394" t="s">
        <v>562</v>
      </c>
      <c r="L24" s="436">
        <f t="shared" si="3"/>
        <v>0</v>
      </c>
      <c r="M24" s="1023"/>
      <c r="N24" s="440">
        <f t="shared" si="4"/>
        <v>40</v>
      </c>
      <c r="O24" s="504">
        <f t="shared" si="5"/>
        <v>0</v>
      </c>
      <c r="P24" s="509">
        <v>10</v>
      </c>
      <c r="Q24" s="507">
        <f t="shared" si="6"/>
        <v>0</v>
      </c>
      <c r="R24" s="692"/>
      <c r="S24" s="312">
        <f t="shared" si="7"/>
        <v>15</v>
      </c>
      <c r="T24" s="668"/>
      <c r="U24" s="899"/>
      <c r="V24" s="887" t="s">
        <v>805</v>
      </c>
      <c r="W24" s="906">
        <v>0</v>
      </c>
      <c r="X24" s="687">
        <f>VLOOKUP(V24,Düngemittel!$B$6:$E$64,2,FALSE)*(VLOOKUP(V24,Düngemittel!$B$6:$E$64,3,FALSE))/100*W24</f>
        <v>0</v>
      </c>
      <c r="Y24" s="687">
        <f>VLOOKUP(V24,Düngemittel!$B$6:$E$64,2,FALSE)*W24</f>
        <v>0</v>
      </c>
      <c r="Z24" s="687">
        <f>VLOOKUP(V24,Düngemittel!$B$6:$E$64,4,FALSE)*W24</f>
        <v>0</v>
      </c>
      <c r="AA24" s="668"/>
      <c r="AB24" s="899"/>
      <c r="AC24" s="887" t="s">
        <v>805</v>
      </c>
      <c r="AD24" s="906">
        <v>0</v>
      </c>
      <c r="AE24" s="687">
        <f>VLOOKUP(AC24,Düngemittel!$B$6:$E$64,2,FALSE)*(VLOOKUP(AC24,Düngemittel!$B$6:$E$64,3,FALSE))/100*AD24</f>
        <v>0</v>
      </c>
      <c r="AF24" s="687">
        <f>VLOOKUP(AC24,Düngemittel!$B$6:$E$64,2,FALSE)*AD24</f>
        <v>0</v>
      </c>
      <c r="AG24" s="687">
        <f>VLOOKUP(AC24,Düngemittel!$B$6:$E$64,4,FALSE)*AD24</f>
        <v>0</v>
      </c>
      <c r="AH24" s="666"/>
      <c r="AI24" s="899"/>
      <c r="AJ24" s="887" t="s">
        <v>805</v>
      </c>
      <c r="AK24" s="906">
        <v>0</v>
      </c>
      <c r="AL24" s="687">
        <f>VLOOKUP(AJ24,Düngemittel!$B$6:$E$64,2,FALSE)*(VLOOKUP(AJ24,Düngemittel!$B$6:$E$64,3,FALSE))/100*AK24</f>
        <v>0</v>
      </c>
      <c r="AM24" s="687">
        <f>VLOOKUP(AJ24,Düngemittel!$B$6:$E$64,2,FALSE)*AK24</f>
        <v>0</v>
      </c>
      <c r="AN24" s="687">
        <f>VLOOKUP(AJ24,Düngemittel!$B$6:$E$64,4,FALSE)*AK24</f>
        <v>0</v>
      </c>
      <c r="AO24" s="666"/>
      <c r="AP24" s="853">
        <f t="shared" si="11"/>
        <v>0</v>
      </c>
      <c r="AQ24" s="308">
        <f t="shared" si="12"/>
        <v>0</v>
      </c>
      <c r="AR24" s="853">
        <f t="shared" si="13"/>
        <v>0</v>
      </c>
      <c r="AS24" s="790">
        <f t="shared" si="14"/>
        <v>0</v>
      </c>
      <c r="AT24" s="308">
        <f t="shared" si="15"/>
        <v>0</v>
      </c>
      <c r="AU24" s="786"/>
      <c r="AV24" s="853">
        <f t="shared" si="16"/>
        <v>0</v>
      </c>
      <c r="AW24" s="853">
        <f t="shared" si="17"/>
        <v>0</v>
      </c>
      <c r="AX24" s="853">
        <f t="shared" si="18"/>
        <v>0</v>
      </c>
      <c r="AY24" s="853">
        <f t="shared" si="19"/>
        <v>0</v>
      </c>
      <c r="AZ24" s="853">
        <f t="shared" si="20"/>
        <v>0</v>
      </c>
      <c r="BA24" s="351">
        <f t="shared" si="9"/>
        <v>0</v>
      </c>
      <c r="BB24" s="399">
        <f t="shared" si="10"/>
        <v>40</v>
      </c>
      <c r="BC24" s="3"/>
      <c r="BJ24" s="400"/>
    </row>
    <row r="25" spans="1:63" ht="28.5" customHeight="1" x14ac:dyDescent="0.25">
      <c r="A25" s="342">
        <v>16</v>
      </c>
      <c r="B25" s="1222">
        <v>0</v>
      </c>
      <c r="C25" s="1494"/>
      <c r="D25" s="1028" t="s">
        <v>578</v>
      </c>
      <c r="E25" s="1025">
        <f t="shared" si="0"/>
        <v>0</v>
      </c>
      <c r="F25" s="645" t="s">
        <v>567</v>
      </c>
      <c r="G25" s="436">
        <f t="shared" si="1"/>
        <v>0</v>
      </c>
      <c r="H25" s="437" t="s">
        <v>299</v>
      </c>
      <c r="I25" s="438">
        <f t="shared" si="2"/>
        <v>0</v>
      </c>
      <c r="J25" s="439" t="s">
        <v>559</v>
      </c>
      <c r="K25" s="394" t="s">
        <v>562</v>
      </c>
      <c r="L25" s="436">
        <f t="shared" si="3"/>
        <v>0</v>
      </c>
      <c r="M25" s="1023"/>
      <c r="N25" s="440">
        <f t="shared" si="4"/>
        <v>40</v>
      </c>
      <c r="O25" s="504">
        <f t="shared" si="5"/>
        <v>0</v>
      </c>
      <c r="P25" s="509">
        <v>10</v>
      </c>
      <c r="Q25" s="507">
        <f t="shared" si="6"/>
        <v>0</v>
      </c>
      <c r="R25" s="692"/>
      <c r="S25" s="312">
        <f t="shared" si="7"/>
        <v>16</v>
      </c>
      <c r="T25" s="668"/>
      <c r="U25" s="899"/>
      <c r="V25" s="887" t="s">
        <v>805</v>
      </c>
      <c r="W25" s="906">
        <v>0</v>
      </c>
      <c r="X25" s="687">
        <f>VLOOKUP(V25,Düngemittel!$B$6:$E$64,2,FALSE)*(VLOOKUP(V25,Düngemittel!$B$6:$E$64,3,FALSE))/100*W25</f>
        <v>0</v>
      </c>
      <c r="Y25" s="687">
        <f>VLOOKUP(V25,Düngemittel!$B$6:$E$64,2,FALSE)*W25</f>
        <v>0</v>
      </c>
      <c r="Z25" s="687">
        <f>VLOOKUP(V25,Düngemittel!$B$6:$E$64,4,FALSE)*W25</f>
        <v>0</v>
      </c>
      <c r="AA25" s="668"/>
      <c r="AB25" s="899"/>
      <c r="AC25" s="887" t="s">
        <v>805</v>
      </c>
      <c r="AD25" s="906">
        <v>0</v>
      </c>
      <c r="AE25" s="687">
        <f>VLOOKUP(AC25,Düngemittel!$B$6:$E$64,2,FALSE)*(VLOOKUP(AC25,Düngemittel!$B$6:$E$64,3,FALSE))/100*AD25</f>
        <v>0</v>
      </c>
      <c r="AF25" s="687">
        <f>VLOOKUP(AC25,Düngemittel!$B$6:$E$64,2,FALSE)*AD25</f>
        <v>0</v>
      </c>
      <c r="AG25" s="687">
        <f>VLOOKUP(AC25,Düngemittel!$B$6:$E$64,4,FALSE)*AD25</f>
        <v>0</v>
      </c>
      <c r="AH25" s="666"/>
      <c r="AI25" s="899"/>
      <c r="AJ25" s="887" t="s">
        <v>805</v>
      </c>
      <c r="AK25" s="906">
        <v>0</v>
      </c>
      <c r="AL25" s="687">
        <f>VLOOKUP(AJ25,Düngemittel!$B$6:$E$64,2,FALSE)*(VLOOKUP(AJ25,Düngemittel!$B$6:$E$64,3,FALSE))/100*AK25</f>
        <v>0</v>
      </c>
      <c r="AM25" s="687">
        <f>VLOOKUP(AJ25,Düngemittel!$B$6:$E$64,2,FALSE)*AK25</f>
        <v>0</v>
      </c>
      <c r="AN25" s="687">
        <f>VLOOKUP(AJ25,Düngemittel!$B$6:$E$64,4,FALSE)*AK25</f>
        <v>0</v>
      </c>
      <c r="AO25" s="666"/>
      <c r="AP25" s="853">
        <f t="shared" si="11"/>
        <v>0</v>
      </c>
      <c r="AQ25" s="308">
        <f t="shared" si="12"/>
        <v>0</v>
      </c>
      <c r="AR25" s="853">
        <f t="shared" si="13"/>
        <v>0</v>
      </c>
      <c r="AS25" s="790">
        <f t="shared" si="14"/>
        <v>0</v>
      </c>
      <c r="AT25" s="308">
        <f t="shared" si="15"/>
        <v>0</v>
      </c>
      <c r="AU25" s="786"/>
      <c r="AV25" s="853">
        <f t="shared" si="16"/>
        <v>0</v>
      </c>
      <c r="AW25" s="853">
        <f t="shared" si="17"/>
        <v>0</v>
      </c>
      <c r="AX25" s="853">
        <f t="shared" si="18"/>
        <v>0</v>
      </c>
      <c r="AY25" s="853">
        <f t="shared" si="19"/>
        <v>0</v>
      </c>
      <c r="AZ25" s="853">
        <f t="shared" si="20"/>
        <v>0</v>
      </c>
      <c r="BA25" s="351">
        <f t="shared" si="9"/>
        <v>0</v>
      </c>
      <c r="BB25" s="399">
        <f t="shared" si="10"/>
        <v>40</v>
      </c>
      <c r="BC25" s="3"/>
    </row>
    <row r="26" spans="1:63" ht="28.5" customHeight="1" x14ac:dyDescent="0.25">
      <c r="A26" s="342">
        <v>17</v>
      </c>
      <c r="B26" s="1222">
        <v>0</v>
      </c>
      <c r="C26" s="1494"/>
      <c r="D26" s="1028" t="s">
        <v>578</v>
      </c>
      <c r="E26" s="1025">
        <f t="shared" si="0"/>
        <v>0</v>
      </c>
      <c r="F26" s="645" t="s">
        <v>567</v>
      </c>
      <c r="G26" s="436">
        <f t="shared" si="1"/>
        <v>0</v>
      </c>
      <c r="H26" s="437" t="s">
        <v>299</v>
      </c>
      <c r="I26" s="438">
        <f t="shared" si="2"/>
        <v>0</v>
      </c>
      <c r="J26" s="439" t="s">
        <v>559</v>
      </c>
      <c r="K26" s="394" t="s">
        <v>562</v>
      </c>
      <c r="L26" s="436">
        <f t="shared" si="3"/>
        <v>0</v>
      </c>
      <c r="M26" s="1023"/>
      <c r="N26" s="440">
        <f t="shared" si="4"/>
        <v>40</v>
      </c>
      <c r="O26" s="504">
        <f t="shared" si="5"/>
        <v>0</v>
      </c>
      <c r="P26" s="509">
        <v>10</v>
      </c>
      <c r="Q26" s="507">
        <f t="shared" si="6"/>
        <v>0</v>
      </c>
      <c r="R26" s="692"/>
      <c r="S26" s="312">
        <f t="shared" si="7"/>
        <v>17</v>
      </c>
      <c r="T26" s="668"/>
      <c r="U26" s="899"/>
      <c r="V26" s="887" t="s">
        <v>805</v>
      </c>
      <c r="W26" s="906">
        <v>0</v>
      </c>
      <c r="X26" s="687">
        <f>VLOOKUP(V26,Düngemittel!$B$6:$E$64,2,FALSE)*(VLOOKUP(V26,Düngemittel!$B$6:$E$64,3,FALSE))/100*W26</f>
        <v>0</v>
      </c>
      <c r="Y26" s="687">
        <f>VLOOKUP(V26,Düngemittel!$B$6:$E$64,2,FALSE)*W26</f>
        <v>0</v>
      </c>
      <c r="Z26" s="687">
        <f>VLOOKUP(V26,Düngemittel!$B$6:$E$64,4,FALSE)*W26</f>
        <v>0</v>
      </c>
      <c r="AA26" s="668"/>
      <c r="AB26" s="899"/>
      <c r="AC26" s="887" t="s">
        <v>805</v>
      </c>
      <c r="AD26" s="906">
        <v>0</v>
      </c>
      <c r="AE26" s="687">
        <f>VLOOKUP(AC26,Düngemittel!$B$6:$E$64,2,FALSE)*(VLOOKUP(AC26,Düngemittel!$B$6:$E$64,3,FALSE))/100*AD26</f>
        <v>0</v>
      </c>
      <c r="AF26" s="687">
        <f>VLOOKUP(AC26,Düngemittel!$B$6:$E$64,2,FALSE)*AD26</f>
        <v>0</v>
      </c>
      <c r="AG26" s="687">
        <f>VLOOKUP(AC26,Düngemittel!$B$6:$E$64,4,FALSE)*AD26</f>
        <v>0</v>
      </c>
      <c r="AH26" s="666"/>
      <c r="AI26" s="899"/>
      <c r="AJ26" s="887" t="s">
        <v>805</v>
      </c>
      <c r="AK26" s="906">
        <v>0</v>
      </c>
      <c r="AL26" s="687">
        <f>VLOOKUP(AJ26,Düngemittel!$B$6:$E$64,2,FALSE)*(VLOOKUP(AJ26,Düngemittel!$B$6:$E$64,3,FALSE))/100*AK26</f>
        <v>0</v>
      </c>
      <c r="AM26" s="687">
        <f>VLOOKUP(AJ26,Düngemittel!$B$6:$E$64,2,FALSE)*AK26</f>
        <v>0</v>
      </c>
      <c r="AN26" s="687">
        <f>VLOOKUP(AJ26,Düngemittel!$B$6:$E$64,4,FALSE)*AK26</f>
        <v>0</v>
      </c>
      <c r="AO26" s="666"/>
      <c r="AP26" s="853">
        <f t="shared" si="11"/>
        <v>0</v>
      </c>
      <c r="AQ26" s="308">
        <f t="shared" si="12"/>
        <v>0</v>
      </c>
      <c r="AR26" s="853">
        <f t="shared" si="13"/>
        <v>0</v>
      </c>
      <c r="AS26" s="790">
        <f t="shared" si="14"/>
        <v>0</v>
      </c>
      <c r="AT26" s="308">
        <f t="shared" si="15"/>
        <v>0</v>
      </c>
      <c r="AU26" s="786"/>
      <c r="AV26" s="853">
        <f t="shared" si="16"/>
        <v>0</v>
      </c>
      <c r="AW26" s="853">
        <f t="shared" si="17"/>
        <v>0</v>
      </c>
      <c r="AX26" s="853">
        <f t="shared" si="18"/>
        <v>0</v>
      </c>
      <c r="AY26" s="853">
        <f t="shared" si="19"/>
        <v>0</v>
      </c>
      <c r="AZ26" s="853">
        <f t="shared" si="20"/>
        <v>0</v>
      </c>
      <c r="BA26" s="351">
        <f t="shared" si="9"/>
        <v>0</v>
      </c>
      <c r="BB26" s="399">
        <f t="shared" si="10"/>
        <v>40</v>
      </c>
      <c r="BC26" s="3"/>
    </row>
    <row r="27" spans="1:63" ht="28.5" customHeight="1" x14ac:dyDescent="0.25">
      <c r="A27" s="342">
        <v>18</v>
      </c>
      <c r="B27" s="1222">
        <v>0</v>
      </c>
      <c r="C27" s="1494"/>
      <c r="D27" s="1028" t="s">
        <v>578</v>
      </c>
      <c r="E27" s="1025">
        <f t="shared" si="0"/>
        <v>0</v>
      </c>
      <c r="F27" s="645" t="s">
        <v>567</v>
      </c>
      <c r="G27" s="436">
        <f t="shared" si="1"/>
        <v>0</v>
      </c>
      <c r="H27" s="437" t="s">
        <v>299</v>
      </c>
      <c r="I27" s="438">
        <f t="shared" si="2"/>
        <v>0</v>
      </c>
      <c r="J27" s="439" t="s">
        <v>559</v>
      </c>
      <c r="K27" s="394" t="s">
        <v>562</v>
      </c>
      <c r="L27" s="436">
        <f t="shared" si="3"/>
        <v>0</v>
      </c>
      <c r="M27" s="1023"/>
      <c r="N27" s="440">
        <f t="shared" si="4"/>
        <v>40</v>
      </c>
      <c r="O27" s="504">
        <f t="shared" si="5"/>
        <v>0</v>
      </c>
      <c r="P27" s="509">
        <v>10</v>
      </c>
      <c r="Q27" s="507">
        <f t="shared" si="6"/>
        <v>0</v>
      </c>
      <c r="R27" s="692"/>
      <c r="S27" s="312">
        <f t="shared" si="7"/>
        <v>18</v>
      </c>
      <c r="T27" s="668"/>
      <c r="U27" s="899"/>
      <c r="V27" s="887" t="s">
        <v>805</v>
      </c>
      <c r="W27" s="906">
        <v>0</v>
      </c>
      <c r="X27" s="687">
        <f>VLOOKUP(V27,Düngemittel!$B$6:$E$64,2,FALSE)*(VLOOKUP(V27,Düngemittel!$B$6:$E$64,3,FALSE))/100*W27</f>
        <v>0</v>
      </c>
      <c r="Y27" s="687">
        <f>VLOOKUP(V27,Düngemittel!$B$6:$E$64,2,FALSE)*W27</f>
        <v>0</v>
      </c>
      <c r="Z27" s="687">
        <f>VLOOKUP(V27,Düngemittel!$B$6:$E$64,4,FALSE)*W27</f>
        <v>0</v>
      </c>
      <c r="AA27" s="668"/>
      <c r="AB27" s="899"/>
      <c r="AC27" s="887" t="s">
        <v>805</v>
      </c>
      <c r="AD27" s="906">
        <v>0</v>
      </c>
      <c r="AE27" s="687">
        <f>VLOOKUP(AC27,Düngemittel!$B$6:$E$64,2,FALSE)*(VLOOKUP(AC27,Düngemittel!$B$6:$E$64,3,FALSE))/100*AD27</f>
        <v>0</v>
      </c>
      <c r="AF27" s="687">
        <f>VLOOKUP(AC27,Düngemittel!$B$6:$E$64,2,FALSE)*AD27</f>
        <v>0</v>
      </c>
      <c r="AG27" s="687">
        <f>VLOOKUP(AC27,Düngemittel!$B$6:$E$64,4,FALSE)*AD27</f>
        <v>0</v>
      </c>
      <c r="AH27" s="666"/>
      <c r="AI27" s="899"/>
      <c r="AJ27" s="887" t="s">
        <v>805</v>
      </c>
      <c r="AK27" s="906">
        <v>0</v>
      </c>
      <c r="AL27" s="687">
        <f>VLOOKUP(AJ27,Düngemittel!$B$6:$E$64,2,FALSE)*(VLOOKUP(AJ27,Düngemittel!$B$6:$E$64,3,FALSE))/100*AK27</f>
        <v>0</v>
      </c>
      <c r="AM27" s="687">
        <f>VLOOKUP(AJ27,Düngemittel!$B$6:$E$64,2,FALSE)*AK27</f>
        <v>0</v>
      </c>
      <c r="AN27" s="687">
        <f>VLOOKUP(AJ27,Düngemittel!$B$6:$E$64,4,FALSE)*AK27</f>
        <v>0</v>
      </c>
      <c r="AO27" s="666"/>
      <c r="AP27" s="853">
        <f t="shared" si="11"/>
        <v>0</v>
      </c>
      <c r="AQ27" s="308">
        <f t="shared" si="12"/>
        <v>0</v>
      </c>
      <c r="AR27" s="853">
        <f t="shared" si="13"/>
        <v>0</v>
      </c>
      <c r="AS27" s="790">
        <f t="shared" si="14"/>
        <v>0</v>
      </c>
      <c r="AT27" s="308">
        <f t="shared" si="15"/>
        <v>0</v>
      </c>
      <c r="AU27" s="786"/>
      <c r="AV27" s="853">
        <f t="shared" si="16"/>
        <v>0</v>
      </c>
      <c r="AW27" s="853">
        <f t="shared" si="17"/>
        <v>0</v>
      </c>
      <c r="AX27" s="853">
        <f t="shared" si="18"/>
        <v>0</v>
      </c>
      <c r="AY27" s="853">
        <f t="shared" si="19"/>
        <v>0</v>
      </c>
      <c r="AZ27" s="853">
        <f t="shared" si="20"/>
        <v>0</v>
      </c>
      <c r="BA27" s="351">
        <f t="shared" si="9"/>
        <v>0</v>
      </c>
      <c r="BB27" s="399">
        <f t="shared" si="10"/>
        <v>40</v>
      </c>
    </row>
    <row r="28" spans="1:63" ht="28.5" customHeight="1" x14ac:dyDescent="0.25">
      <c r="A28" s="342">
        <v>19</v>
      </c>
      <c r="B28" s="1222">
        <v>0</v>
      </c>
      <c r="C28" s="1494"/>
      <c r="D28" s="1028" t="s">
        <v>578</v>
      </c>
      <c r="E28" s="1025">
        <f t="shared" si="0"/>
        <v>0</v>
      </c>
      <c r="F28" s="645" t="s">
        <v>567</v>
      </c>
      <c r="G28" s="436">
        <f t="shared" si="1"/>
        <v>0</v>
      </c>
      <c r="H28" s="437" t="s">
        <v>299</v>
      </c>
      <c r="I28" s="438">
        <f t="shared" si="2"/>
        <v>0</v>
      </c>
      <c r="J28" s="439" t="s">
        <v>559</v>
      </c>
      <c r="K28" s="394" t="s">
        <v>562</v>
      </c>
      <c r="L28" s="436">
        <f t="shared" si="3"/>
        <v>0</v>
      </c>
      <c r="M28" s="1023"/>
      <c r="N28" s="440">
        <f t="shared" si="4"/>
        <v>40</v>
      </c>
      <c r="O28" s="504">
        <f t="shared" si="5"/>
        <v>0</v>
      </c>
      <c r="P28" s="509">
        <v>10</v>
      </c>
      <c r="Q28" s="507">
        <f t="shared" si="6"/>
        <v>0</v>
      </c>
      <c r="R28" s="692"/>
      <c r="S28" s="312">
        <f t="shared" si="7"/>
        <v>19</v>
      </c>
      <c r="T28" s="668"/>
      <c r="U28" s="899"/>
      <c r="V28" s="887" t="s">
        <v>805</v>
      </c>
      <c r="W28" s="906">
        <v>0</v>
      </c>
      <c r="X28" s="687">
        <f>VLOOKUP(V28,Düngemittel!$B$6:$E$64,2,FALSE)*(VLOOKUP(V28,Düngemittel!$B$6:$E$64,3,FALSE))/100*W28</f>
        <v>0</v>
      </c>
      <c r="Y28" s="687">
        <f>VLOOKUP(V28,Düngemittel!$B$6:$E$64,2,FALSE)*W28</f>
        <v>0</v>
      </c>
      <c r="Z28" s="687">
        <f>VLOOKUP(V28,Düngemittel!$B$6:$E$64,4,FALSE)*W28</f>
        <v>0</v>
      </c>
      <c r="AA28" s="668"/>
      <c r="AB28" s="899"/>
      <c r="AC28" s="887" t="s">
        <v>805</v>
      </c>
      <c r="AD28" s="906">
        <v>0</v>
      </c>
      <c r="AE28" s="687">
        <f>VLOOKUP(AC28,Düngemittel!$B$6:$E$64,2,FALSE)*(VLOOKUP(AC28,Düngemittel!$B$6:$E$64,3,FALSE))/100*AD28</f>
        <v>0</v>
      </c>
      <c r="AF28" s="687">
        <f>VLOOKUP(AC28,Düngemittel!$B$6:$E$64,2,FALSE)*AD28</f>
        <v>0</v>
      </c>
      <c r="AG28" s="687">
        <f>VLOOKUP(AC28,Düngemittel!$B$6:$E$64,4,FALSE)*AD28</f>
        <v>0</v>
      </c>
      <c r="AH28" s="666"/>
      <c r="AI28" s="899"/>
      <c r="AJ28" s="887" t="s">
        <v>805</v>
      </c>
      <c r="AK28" s="906">
        <v>0</v>
      </c>
      <c r="AL28" s="687">
        <f>VLOOKUP(AJ28,Düngemittel!$B$6:$E$64,2,FALSE)*(VLOOKUP(AJ28,Düngemittel!$B$6:$E$64,3,FALSE))/100*AK28</f>
        <v>0</v>
      </c>
      <c r="AM28" s="687">
        <f>VLOOKUP(AJ28,Düngemittel!$B$6:$E$64,2,FALSE)*AK28</f>
        <v>0</v>
      </c>
      <c r="AN28" s="687">
        <f>VLOOKUP(AJ28,Düngemittel!$B$6:$E$64,4,FALSE)*AK28</f>
        <v>0</v>
      </c>
      <c r="AO28" s="666"/>
      <c r="AP28" s="853">
        <f t="shared" si="11"/>
        <v>0</v>
      </c>
      <c r="AQ28" s="308">
        <f t="shared" si="12"/>
        <v>0</v>
      </c>
      <c r="AR28" s="853">
        <f t="shared" si="13"/>
        <v>0</v>
      </c>
      <c r="AS28" s="790">
        <f t="shared" si="14"/>
        <v>0</v>
      </c>
      <c r="AT28" s="308">
        <f t="shared" si="15"/>
        <v>0</v>
      </c>
      <c r="AU28" s="786"/>
      <c r="AV28" s="853">
        <f t="shared" si="16"/>
        <v>0</v>
      </c>
      <c r="AW28" s="853">
        <f t="shared" si="17"/>
        <v>0</v>
      </c>
      <c r="AX28" s="853">
        <f t="shared" si="18"/>
        <v>0</v>
      </c>
      <c r="AY28" s="853">
        <f t="shared" si="19"/>
        <v>0</v>
      </c>
      <c r="AZ28" s="853">
        <f t="shared" si="20"/>
        <v>0</v>
      </c>
      <c r="BA28" s="351">
        <f t="shared" si="9"/>
        <v>0</v>
      </c>
      <c r="BB28" s="399">
        <f t="shared" si="10"/>
        <v>40</v>
      </c>
    </row>
    <row r="29" spans="1:63" ht="28.5" customHeight="1" x14ac:dyDescent="0.25">
      <c r="A29" s="342">
        <v>20</v>
      </c>
      <c r="B29" s="1222">
        <v>0</v>
      </c>
      <c r="C29" s="1494"/>
      <c r="D29" s="1028" t="s">
        <v>578</v>
      </c>
      <c r="E29" s="1025">
        <f t="shared" si="0"/>
        <v>0</v>
      </c>
      <c r="F29" s="645" t="s">
        <v>567</v>
      </c>
      <c r="G29" s="436">
        <f t="shared" si="1"/>
        <v>0</v>
      </c>
      <c r="H29" s="437" t="s">
        <v>299</v>
      </c>
      <c r="I29" s="438">
        <f t="shared" si="2"/>
        <v>0</v>
      </c>
      <c r="J29" s="439" t="s">
        <v>559</v>
      </c>
      <c r="K29" s="394" t="s">
        <v>562</v>
      </c>
      <c r="L29" s="436">
        <f t="shared" si="3"/>
        <v>0</v>
      </c>
      <c r="M29" s="1023"/>
      <c r="N29" s="440">
        <f t="shared" si="4"/>
        <v>40</v>
      </c>
      <c r="O29" s="504">
        <f t="shared" si="5"/>
        <v>0</v>
      </c>
      <c r="P29" s="509">
        <v>10</v>
      </c>
      <c r="Q29" s="507">
        <f t="shared" si="6"/>
        <v>0</v>
      </c>
      <c r="R29" s="754"/>
      <c r="S29" s="312">
        <f t="shared" si="7"/>
        <v>20</v>
      </c>
      <c r="T29" s="668"/>
      <c r="U29" s="899"/>
      <c r="V29" s="887" t="s">
        <v>805</v>
      </c>
      <c r="W29" s="906">
        <v>0</v>
      </c>
      <c r="X29" s="687">
        <f>VLOOKUP(V29,Düngemittel!$B$6:$E$64,2,FALSE)*(VLOOKUP(V29,Düngemittel!$B$6:$E$64,3,FALSE))/100*W29</f>
        <v>0</v>
      </c>
      <c r="Y29" s="687">
        <f>VLOOKUP(V29,Düngemittel!$B$6:$E$64,2,FALSE)*W29</f>
        <v>0</v>
      </c>
      <c r="Z29" s="687">
        <f>VLOOKUP(V29,Düngemittel!$B$6:$E$64,4,FALSE)*W29</f>
        <v>0</v>
      </c>
      <c r="AA29" s="668"/>
      <c r="AB29" s="899"/>
      <c r="AC29" s="887" t="s">
        <v>805</v>
      </c>
      <c r="AD29" s="906">
        <v>0</v>
      </c>
      <c r="AE29" s="687">
        <f>VLOOKUP(AC29,Düngemittel!$B$6:$E$64,2,FALSE)*(VLOOKUP(AC29,Düngemittel!$B$6:$E$64,3,FALSE))/100*AD29</f>
        <v>0</v>
      </c>
      <c r="AF29" s="687">
        <f>VLOOKUP(AC29,Düngemittel!$B$6:$E$64,2,FALSE)*AD29</f>
        <v>0</v>
      </c>
      <c r="AG29" s="687">
        <f>VLOOKUP(AC29,Düngemittel!$B$6:$E$64,4,FALSE)*AD29</f>
        <v>0</v>
      </c>
      <c r="AH29" s="667"/>
      <c r="AI29" s="899"/>
      <c r="AJ29" s="887" t="s">
        <v>805</v>
      </c>
      <c r="AK29" s="906">
        <v>0</v>
      </c>
      <c r="AL29" s="687">
        <f>VLOOKUP(AJ29,Düngemittel!$B$6:$E$64,2,FALSE)*(VLOOKUP(AJ29,Düngemittel!$B$6:$E$64,3,FALSE))/100*AK29</f>
        <v>0</v>
      </c>
      <c r="AM29" s="687">
        <f>VLOOKUP(AJ29,Düngemittel!$B$6:$E$64,2,FALSE)*AK29</f>
        <v>0</v>
      </c>
      <c r="AN29" s="687">
        <f>VLOOKUP(AJ29,Düngemittel!$B$6:$E$64,4,FALSE)*AK29</f>
        <v>0</v>
      </c>
      <c r="AO29" s="667"/>
      <c r="AP29" s="853">
        <f t="shared" si="11"/>
        <v>0</v>
      </c>
      <c r="AQ29" s="308">
        <f t="shared" si="12"/>
        <v>0</v>
      </c>
      <c r="AR29" s="853">
        <f t="shared" si="13"/>
        <v>0</v>
      </c>
      <c r="AS29" s="790">
        <f t="shared" si="14"/>
        <v>0</v>
      </c>
      <c r="AT29" s="308">
        <f t="shared" si="15"/>
        <v>0</v>
      </c>
      <c r="AU29" s="787"/>
      <c r="AV29" s="853">
        <f t="shared" si="16"/>
        <v>0</v>
      </c>
      <c r="AW29" s="853">
        <f t="shared" si="17"/>
        <v>0</v>
      </c>
      <c r="AX29" s="853">
        <f t="shared" si="18"/>
        <v>0</v>
      </c>
      <c r="AY29" s="853">
        <f t="shared" si="19"/>
        <v>0</v>
      </c>
      <c r="AZ29" s="853">
        <f t="shared" si="20"/>
        <v>0</v>
      </c>
      <c r="BA29" s="351">
        <f t="shared" ref="BA29:BA31" si="21">VLOOKUP(J29,BJ$11:BK$24,2,FALSE)</f>
        <v>0</v>
      </c>
      <c r="BB29" s="399">
        <f t="shared" ref="BB29:BB31" si="22">40+E29+G29+I29+L29-M29</f>
        <v>40</v>
      </c>
    </row>
    <row r="30" spans="1:63" ht="28.5" customHeight="1" x14ac:dyDescent="0.25">
      <c r="A30" s="342">
        <v>21</v>
      </c>
      <c r="B30" s="1222">
        <v>0</v>
      </c>
      <c r="C30" s="1494"/>
      <c r="D30" s="1028" t="s">
        <v>578</v>
      </c>
      <c r="E30" s="1025">
        <f t="shared" si="0"/>
        <v>0</v>
      </c>
      <c r="F30" s="632" t="s">
        <v>567</v>
      </c>
      <c r="G30" s="427">
        <v>0</v>
      </c>
      <c r="H30" s="433" t="s">
        <v>299</v>
      </c>
      <c r="I30" s="438">
        <f t="shared" si="2"/>
        <v>0</v>
      </c>
      <c r="J30" s="755" t="s">
        <v>559</v>
      </c>
      <c r="K30" s="394" t="s">
        <v>562</v>
      </c>
      <c r="L30" s="427">
        <v>0</v>
      </c>
      <c r="M30" s="1023"/>
      <c r="N30" s="440">
        <f t="shared" si="4"/>
        <v>40</v>
      </c>
      <c r="O30" s="504">
        <f t="shared" si="5"/>
        <v>0</v>
      </c>
      <c r="P30" s="509">
        <v>10</v>
      </c>
      <c r="Q30" s="507">
        <f t="shared" si="6"/>
        <v>0</v>
      </c>
      <c r="R30" s="759"/>
      <c r="S30" s="312">
        <v>21</v>
      </c>
      <c r="T30" s="312"/>
      <c r="U30" s="886"/>
      <c r="V30" s="887" t="s">
        <v>805</v>
      </c>
      <c r="W30" s="906">
        <v>0</v>
      </c>
      <c r="X30" s="687">
        <f>VLOOKUP(V30,Düngemittel!$B$6:$E$64,2,FALSE)*(VLOOKUP(V30,Düngemittel!$B$6:$E$64,3,FALSE))/100*W30</f>
        <v>0</v>
      </c>
      <c r="Y30" s="687">
        <f>VLOOKUP(V30,Düngemittel!$B$6:$E$64,2,FALSE)*W30</f>
        <v>0</v>
      </c>
      <c r="Z30" s="687">
        <f>VLOOKUP(V30,Düngemittel!$B$6:$E$64,4,FALSE)*W30</f>
        <v>0</v>
      </c>
      <c r="AA30" s="312"/>
      <c r="AB30" s="886"/>
      <c r="AC30" s="887" t="s">
        <v>805</v>
      </c>
      <c r="AD30" s="906">
        <v>0</v>
      </c>
      <c r="AE30" s="687">
        <f>VLOOKUP(AC30,Düngemittel!$B$6:$E$64,2,FALSE)*(VLOOKUP(AC30,Düngemittel!$B$6:$E$64,3,FALSE))/100*AD30</f>
        <v>0</v>
      </c>
      <c r="AF30" s="687">
        <f>VLOOKUP(AC30,Düngemittel!$B$6:$E$64,2,FALSE)*AD30</f>
        <v>0</v>
      </c>
      <c r="AG30" s="687">
        <f>VLOOKUP(AC30,Düngemittel!$B$6:$E$64,4,FALSE)*AD30</f>
        <v>0</v>
      </c>
      <c r="AH30" s="760"/>
      <c r="AI30" s="886"/>
      <c r="AJ30" s="887" t="s">
        <v>805</v>
      </c>
      <c r="AK30" s="906">
        <v>0</v>
      </c>
      <c r="AL30" s="687">
        <f>VLOOKUP(AJ30,Düngemittel!$B$6:$E$64,2,FALSE)*(VLOOKUP(AJ30,Düngemittel!$B$6:$E$64,3,FALSE))/100*AK30</f>
        <v>0</v>
      </c>
      <c r="AM30" s="687">
        <f>VLOOKUP(AJ30,Düngemittel!$B$6:$E$64,2,FALSE)*AK30</f>
        <v>0</v>
      </c>
      <c r="AN30" s="687">
        <f>VLOOKUP(AJ30,Düngemittel!$B$6:$E$64,4,FALSE)*AK30</f>
        <v>0</v>
      </c>
      <c r="AO30" s="760"/>
      <c r="AP30" s="853">
        <f t="shared" si="11"/>
        <v>0</v>
      </c>
      <c r="AQ30" s="308">
        <f t="shared" si="12"/>
        <v>0</v>
      </c>
      <c r="AR30" s="853">
        <f t="shared" si="13"/>
        <v>0</v>
      </c>
      <c r="AS30" s="790">
        <f t="shared" si="14"/>
        <v>0</v>
      </c>
      <c r="AT30" s="308">
        <f t="shared" si="15"/>
        <v>0</v>
      </c>
      <c r="AU30" s="788"/>
      <c r="AV30" s="853">
        <f t="shared" si="16"/>
        <v>0</v>
      </c>
      <c r="AW30" s="853">
        <f t="shared" si="17"/>
        <v>0</v>
      </c>
      <c r="AX30" s="853">
        <f t="shared" si="18"/>
        <v>0</v>
      </c>
      <c r="AY30" s="853">
        <f t="shared" si="19"/>
        <v>0</v>
      </c>
      <c r="AZ30" s="853">
        <f t="shared" si="20"/>
        <v>0</v>
      </c>
      <c r="BA30" s="351">
        <f t="shared" si="21"/>
        <v>0</v>
      </c>
      <c r="BB30" s="399">
        <f t="shared" si="22"/>
        <v>40</v>
      </c>
    </row>
    <row r="31" spans="1:63" ht="28.5" customHeight="1" thickBot="1" x14ac:dyDescent="0.3">
      <c r="A31" s="381">
        <v>22</v>
      </c>
      <c r="B31" s="1236">
        <v>0</v>
      </c>
      <c r="C31" s="1495"/>
      <c r="D31" s="1029" t="s">
        <v>578</v>
      </c>
      <c r="E31" s="1026">
        <f t="shared" si="0"/>
        <v>0</v>
      </c>
      <c r="F31" s="632" t="s">
        <v>567</v>
      </c>
      <c r="G31" s="427">
        <f>VLOOKUP(F31,BD$11:BE$20,2,FALSE)</f>
        <v>0</v>
      </c>
      <c r="H31" s="433" t="s">
        <v>299</v>
      </c>
      <c r="I31" s="761">
        <f>VLOOKUP(H31,BG$11:BH$13,2,FALSE)</f>
        <v>0</v>
      </c>
      <c r="J31" s="755" t="s">
        <v>559</v>
      </c>
      <c r="K31" s="394" t="s">
        <v>562</v>
      </c>
      <c r="L31" s="428">
        <f>IF(K31="jede zweite",BA31,BA31*2)</f>
        <v>0</v>
      </c>
      <c r="M31" s="1023"/>
      <c r="N31" s="752">
        <f t="shared" si="4"/>
        <v>40</v>
      </c>
      <c r="O31" s="753">
        <f t="shared" si="5"/>
        <v>0</v>
      </c>
      <c r="P31" s="479">
        <v>10</v>
      </c>
      <c r="Q31" s="508">
        <f t="shared" si="6"/>
        <v>0</v>
      </c>
      <c r="R31" s="757"/>
      <c r="S31" s="312">
        <v>22</v>
      </c>
      <c r="T31" s="312"/>
      <c r="U31" s="886"/>
      <c r="V31" s="887" t="s">
        <v>805</v>
      </c>
      <c r="W31" s="906">
        <v>0</v>
      </c>
      <c r="X31" s="687">
        <f>VLOOKUP(V31,Düngemittel!$B$6:$E$64,2,FALSE)*(VLOOKUP(V31,Düngemittel!$B$6:$E$64,3,FALSE))/100*W31</f>
        <v>0</v>
      </c>
      <c r="Y31" s="687">
        <f>VLOOKUP(V31,Düngemittel!$B$6:$E$64,2,FALSE)*W31</f>
        <v>0</v>
      </c>
      <c r="Z31" s="687">
        <f>VLOOKUP(V31,Düngemittel!$B$6:$E$64,4,FALSE)*W31</f>
        <v>0</v>
      </c>
      <c r="AA31" s="312"/>
      <c r="AB31" s="886"/>
      <c r="AC31" s="887" t="s">
        <v>805</v>
      </c>
      <c r="AD31" s="906">
        <v>0</v>
      </c>
      <c r="AE31" s="687">
        <f>VLOOKUP(AC31,Düngemittel!$B$6:$E$64,2,FALSE)*(VLOOKUP(AC31,Düngemittel!$B$6:$E$64,3,FALSE))/100*AD31</f>
        <v>0</v>
      </c>
      <c r="AF31" s="687">
        <f>VLOOKUP(AC31,Düngemittel!$B$6:$E$64,2,FALSE)*AD31</f>
        <v>0</v>
      </c>
      <c r="AG31" s="687">
        <f>VLOOKUP(AC31,Düngemittel!$B$6:$E$64,4,FALSE)*AD31</f>
        <v>0</v>
      </c>
      <c r="AH31" s="758"/>
      <c r="AI31" s="886"/>
      <c r="AJ31" s="887" t="s">
        <v>805</v>
      </c>
      <c r="AK31" s="906">
        <v>0</v>
      </c>
      <c r="AL31" s="687">
        <f>VLOOKUP(AJ31,Düngemittel!$B$6:$E$64,2,FALSE)*(VLOOKUP(AJ31,Düngemittel!$B$6:$E$64,3,FALSE))/100*AK31</f>
        <v>0</v>
      </c>
      <c r="AM31" s="687">
        <f>VLOOKUP(AJ31,Düngemittel!$B$6:$E$64,2,FALSE)*AK31</f>
        <v>0</v>
      </c>
      <c r="AN31" s="687">
        <f>VLOOKUP(AJ31,Düngemittel!$B$6:$E$64,4,FALSE)*AK31</f>
        <v>0</v>
      </c>
      <c r="AO31" s="758"/>
      <c r="AP31" s="853">
        <f t="shared" si="11"/>
        <v>0</v>
      </c>
      <c r="AQ31" s="308">
        <f t="shared" si="12"/>
        <v>0</v>
      </c>
      <c r="AR31" s="853">
        <f t="shared" si="13"/>
        <v>0</v>
      </c>
      <c r="AS31" s="790">
        <f t="shared" si="14"/>
        <v>0</v>
      </c>
      <c r="AT31" s="308">
        <f t="shared" si="15"/>
        <v>0</v>
      </c>
      <c r="AU31" s="789"/>
      <c r="AV31" s="853">
        <f t="shared" si="16"/>
        <v>0</v>
      </c>
      <c r="AW31" s="853">
        <f t="shared" si="17"/>
        <v>0</v>
      </c>
      <c r="AX31" s="853">
        <f t="shared" si="18"/>
        <v>0</v>
      </c>
      <c r="AY31" s="853">
        <f t="shared" si="19"/>
        <v>0</v>
      </c>
      <c r="AZ31" s="853">
        <f t="shared" si="20"/>
        <v>0</v>
      </c>
      <c r="BA31" s="351">
        <f t="shared" si="21"/>
        <v>0</v>
      </c>
      <c r="BB31" s="399">
        <f t="shared" si="22"/>
        <v>40</v>
      </c>
    </row>
    <row r="32" spans="1:63" ht="26.25" customHeight="1" thickBot="1" x14ac:dyDescent="0.3">
      <c r="A32" s="384" t="s">
        <v>292</v>
      </c>
      <c r="B32" s="401">
        <f>SUM(B10:B31)</f>
        <v>0</v>
      </c>
      <c r="C32" s="375"/>
      <c r="D32" s="371"/>
      <c r="E32" s="371"/>
      <c r="F32" s="375"/>
      <c r="G32" s="375"/>
      <c r="H32" s="375"/>
      <c r="I32" s="375"/>
      <c r="J32" s="375"/>
      <c r="K32" s="375"/>
      <c r="L32" s="375"/>
      <c r="M32" s="375"/>
      <c r="N32" s="385" t="s">
        <v>552</v>
      </c>
      <c r="O32" s="506">
        <f>SUM(O10:O31)</f>
        <v>0</v>
      </c>
      <c r="P32" s="506"/>
      <c r="Q32" s="395">
        <f>SUM(Q10:Q31)</f>
        <v>0</v>
      </c>
      <c r="R32" s="475"/>
      <c r="S32" s="475"/>
      <c r="T32" s="475"/>
      <c r="U32" s="475"/>
      <c r="V32" s="475"/>
      <c r="W32" s="475"/>
      <c r="X32" s="475"/>
      <c r="Y32" s="475"/>
      <c r="Z32" s="475"/>
      <c r="AA32" s="475"/>
      <c r="AB32" s="475"/>
      <c r="AC32" s="475"/>
      <c r="AD32" s="475"/>
      <c r="AE32" s="475"/>
      <c r="AF32" s="475"/>
      <c r="AG32" s="475"/>
      <c r="AH32" s="475"/>
      <c r="AI32" s="475"/>
      <c r="AJ32" s="475"/>
      <c r="AK32" s="475"/>
      <c r="AL32" s="475"/>
      <c r="AM32" s="475"/>
      <c r="AN32" s="475"/>
      <c r="AO32" s="475"/>
      <c r="AP32" s="476"/>
      <c r="AQ32" s="476"/>
      <c r="AR32" s="476"/>
      <c r="AS32" s="476"/>
      <c r="AT32" s="476"/>
      <c r="AU32" s="272"/>
      <c r="AV32" s="308">
        <f>SUM(AV10:AV31)</f>
        <v>0</v>
      </c>
      <c r="AW32" s="308">
        <f>SUM(AW10:AW31)</f>
        <v>0</v>
      </c>
      <c r="AX32" s="308">
        <f>SUM(AX10:AX31)</f>
        <v>0</v>
      </c>
      <c r="AY32" s="308">
        <f>SUM(AY10:AY31)</f>
        <v>0</v>
      </c>
      <c r="AZ32" s="308">
        <f>SUM(AZ10:AZ31)</f>
        <v>0</v>
      </c>
      <c r="BA32" s="782" t="s">
        <v>1097</v>
      </c>
      <c r="BB32" s="390"/>
    </row>
    <row r="33" spans="1:55" ht="27.75" customHeight="1" x14ac:dyDescent="0.25">
      <c r="A33" s="118"/>
      <c r="B33" s="112"/>
      <c r="D33" s="80"/>
      <c r="E33" s="112"/>
      <c r="H33" s="151"/>
      <c r="O33" s="1310" t="s">
        <v>1118</v>
      </c>
      <c r="Q33" s="1310" t="s">
        <v>1119</v>
      </c>
      <c r="AP33" s="784" t="e">
        <f t="shared" ref="AP33:AT33" si="23">AV33</f>
        <v>#DIV/0!</v>
      </c>
      <c r="AQ33" s="308" t="e">
        <f t="shared" si="23"/>
        <v>#DIV/0!</v>
      </c>
      <c r="AR33" s="784" t="e">
        <f t="shared" si="23"/>
        <v>#DIV/0!</v>
      </c>
      <c r="AS33" s="777" t="e">
        <f t="shared" si="23"/>
        <v>#DIV/0!</v>
      </c>
      <c r="AT33" s="308" t="e">
        <f t="shared" si="23"/>
        <v>#DIV/0!</v>
      </c>
      <c r="AU33" s="272"/>
      <c r="AV33" s="784" t="e">
        <f>AV32/$B32</f>
        <v>#DIV/0!</v>
      </c>
      <c r="AW33" s="308" t="e">
        <f>AW32/$B32</f>
        <v>#DIV/0!</v>
      </c>
      <c r="AX33" s="784" t="e">
        <f>AX32/$B32</f>
        <v>#DIV/0!</v>
      </c>
      <c r="AY33" s="777" t="e">
        <f>AY32/$B32</f>
        <v>#DIV/0!</v>
      </c>
      <c r="AZ33" s="308" t="e">
        <f>AZ32/$B32</f>
        <v>#DIV/0!</v>
      </c>
      <c r="BA33" s="782" t="s">
        <v>1076</v>
      </c>
    </row>
    <row r="34" spans="1:55" ht="51.75" customHeight="1" thickBot="1" x14ac:dyDescent="0.3">
      <c r="A34" s="118"/>
      <c r="B34" s="112"/>
      <c r="D34" s="80"/>
      <c r="E34" s="112"/>
      <c r="H34" s="151"/>
      <c r="O34" s="1311"/>
      <c r="Q34" s="1311"/>
      <c r="R34" s="476"/>
      <c r="S34" s="476"/>
      <c r="T34" s="476"/>
      <c r="U34" s="476"/>
      <c r="V34" s="476"/>
      <c r="W34" s="476"/>
      <c r="X34" s="476"/>
      <c r="Y34" s="476"/>
      <c r="Z34" s="476"/>
      <c r="AA34" s="476"/>
      <c r="AB34" s="476"/>
      <c r="AC34" s="476"/>
      <c r="AD34" s="476"/>
      <c r="AE34" s="476"/>
      <c r="AF34" s="476"/>
      <c r="AG34" s="476"/>
      <c r="AH34" s="476"/>
      <c r="AI34" s="476"/>
      <c r="AJ34" s="476"/>
      <c r="AK34" s="476"/>
      <c r="AL34" s="476"/>
      <c r="AM34" s="476"/>
      <c r="AN34" s="476"/>
      <c r="AO34" s="476"/>
      <c r="AP34" s="775" t="s">
        <v>1096</v>
      </c>
      <c r="AQ34" s="312" t="s">
        <v>1082</v>
      </c>
      <c r="AR34" s="312" t="s">
        <v>1099</v>
      </c>
      <c r="AS34" s="699" t="s">
        <v>1268</v>
      </c>
      <c r="AT34" s="312" t="s">
        <v>290</v>
      </c>
      <c r="AU34" s="476"/>
      <c r="AV34" s="780" t="s">
        <v>1096</v>
      </c>
      <c r="AW34" s="312" t="s">
        <v>1082</v>
      </c>
      <c r="AX34" s="781" t="s">
        <v>1098</v>
      </c>
      <c r="AY34" s="699" t="s">
        <v>1268</v>
      </c>
      <c r="AZ34" s="312" t="s">
        <v>290</v>
      </c>
      <c r="BA34" s="356"/>
      <c r="BB34" s="400"/>
      <c r="BC34" s="400"/>
    </row>
    <row r="35" spans="1:55" ht="35.25" customHeight="1" x14ac:dyDescent="0.25">
      <c r="A35" s="1491" t="s">
        <v>794</v>
      </c>
      <c r="B35" s="1292"/>
      <c r="C35" s="1292"/>
      <c r="D35" s="1492"/>
      <c r="E35" s="112"/>
      <c r="H35" s="151"/>
      <c r="O35" s="357"/>
      <c r="P35" s="357"/>
      <c r="R35" s="476"/>
      <c r="S35" s="476"/>
      <c r="T35" s="476"/>
      <c r="U35" s="476"/>
      <c r="V35" s="476"/>
      <c r="W35" s="476"/>
      <c r="X35" s="476"/>
      <c r="Y35" s="476"/>
      <c r="Z35" s="476"/>
      <c r="AA35" s="476"/>
      <c r="AB35" s="476"/>
      <c r="AC35" s="476"/>
      <c r="AD35" s="476"/>
      <c r="AE35" s="476"/>
      <c r="AF35" s="476"/>
      <c r="AG35" s="476"/>
      <c r="AH35" s="476"/>
      <c r="AI35" s="476"/>
      <c r="AJ35" s="476"/>
      <c r="AK35" s="476"/>
      <c r="AL35" s="476"/>
      <c r="AM35" s="476"/>
      <c r="AN35" s="476"/>
      <c r="AO35" s="476"/>
      <c r="AP35" s="476"/>
      <c r="AQ35" s="476"/>
      <c r="AR35" s="476"/>
      <c r="AS35" s="476"/>
      <c r="AT35" s="476"/>
      <c r="AU35" s="476"/>
      <c r="AV35" s="476"/>
      <c r="AW35" s="476"/>
      <c r="AX35" s="476"/>
      <c r="AY35" s="476"/>
      <c r="AZ35" s="476"/>
      <c r="BA35" s="400"/>
      <c r="BB35" s="400"/>
      <c r="BC35" s="400"/>
    </row>
    <row r="36" spans="1:55" ht="38.25" customHeight="1" x14ac:dyDescent="0.25">
      <c r="A36" s="1483" t="s">
        <v>795</v>
      </c>
      <c r="B36" s="1336"/>
      <c r="C36" s="1336"/>
      <c r="D36" s="1477"/>
      <c r="H36" s="151"/>
      <c r="L36" s="515"/>
      <c r="R36" s="476"/>
      <c r="S36" s="476"/>
      <c r="T36" s="476"/>
      <c r="U36" s="476"/>
      <c r="V36" s="476"/>
      <c r="W36" s="476"/>
      <c r="X36" s="476"/>
      <c r="Y36" s="476"/>
      <c r="Z36" s="476"/>
      <c r="AA36" s="476"/>
      <c r="AB36" s="476"/>
      <c r="AC36" s="476"/>
      <c r="AD36" s="476"/>
      <c r="AE36" s="476"/>
      <c r="AF36" s="476"/>
      <c r="AG36" s="476"/>
      <c r="AH36" s="476"/>
      <c r="AI36" s="476"/>
      <c r="AJ36" s="476"/>
      <c r="AK36" s="476"/>
      <c r="AL36" s="476"/>
      <c r="AM36" s="476"/>
      <c r="AN36" s="476"/>
      <c r="AO36" s="476"/>
      <c r="AP36" s="476"/>
      <c r="AQ36" s="476"/>
      <c r="AR36" s="476"/>
      <c r="AS36" s="476"/>
      <c r="AT36" s="476"/>
      <c r="AU36" s="476"/>
      <c r="AV36" s="476"/>
      <c r="AW36" s="476"/>
      <c r="AX36" s="476"/>
      <c r="AY36" s="476"/>
      <c r="AZ36" s="476"/>
      <c r="BA36" s="400"/>
      <c r="BB36" s="400"/>
      <c r="BC36" s="400"/>
    </row>
    <row r="37" spans="1:55" ht="62.25" customHeight="1" thickBot="1" x14ac:dyDescent="0.3">
      <c r="A37" s="649" t="s">
        <v>791</v>
      </c>
      <c r="B37" s="312" t="s">
        <v>792</v>
      </c>
      <c r="C37" s="681" t="s">
        <v>797</v>
      </c>
      <c r="D37" s="650" t="s">
        <v>4</v>
      </c>
      <c r="E37" s="112"/>
      <c r="H37" s="151"/>
      <c r="R37" s="726"/>
      <c r="S37" s="726"/>
      <c r="T37" s="726"/>
      <c r="U37" s="726"/>
      <c r="V37" s="726"/>
      <c r="W37" s="726"/>
      <c r="X37" s="726"/>
      <c r="Y37" s="726"/>
      <c r="Z37" s="726"/>
      <c r="AA37" s="726"/>
      <c r="AB37" s="726"/>
      <c r="AC37" s="726"/>
      <c r="AD37" s="726"/>
      <c r="AE37" s="726"/>
      <c r="AF37" s="726"/>
      <c r="AG37" s="726"/>
      <c r="AH37" s="726"/>
      <c r="AI37" s="726"/>
      <c r="AJ37" s="726"/>
      <c r="AK37" s="726"/>
      <c r="AL37" s="726"/>
      <c r="AM37" s="726"/>
      <c r="AN37" s="726"/>
      <c r="AO37" s="726"/>
      <c r="AP37" s="726"/>
      <c r="AQ37" s="726"/>
      <c r="AR37" s="726"/>
      <c r="AS37" s="726"/>
      <c r="AT37" s="726"/>
      <c r="AU37" s="726"/>
      <c r="AV37" s="726"/>
      <c r="AW37" s="726"/>
      <c r="AX37" s="726"/>
      <c r="AY37" s="726"/>
      <c r="AZ37" s="726"/>
    </row>
    <row r="38" spans="1:55" ht="29.25" customHeight="1" thickBot="1" x14ac:dyDescent="0.3">
      <c r="A38" s="903">
        <v>10</v>
      </c>
      <c r="B38" s="904">
        <v>6.5</v>
      </c>
      <c r="C38" s="905">
        <v>10</v>
      </c>
      <c r="D38" s="1022">
        <f>A38*B38*C38/100</f>
        <v>6.5</v>
      </c>
      <c r="E38" s="112"/>
      <c r="H38" s="151"/>
    </row>
    <row r="39" spans="1:55" ht="32.25" customHeight="1" thickBot="1" x14ac:dyDescent="0.3">
      <c r="A39" s="646"/>
      <c r="B39" s="647"/>
      <c r="C39" s="648"/>
      <c r="D39" s="653" t="s">
        <v>793</v>
      </c>
      <c r="E39" s="112"/>
      <c r="H39" s="151"/>
    </row>
    <row r="40" spans="1:55" s="515" customFormat="1" ht="40.5" customHeight="1" x14ac:dyDescent="0.25">
      <c r="A40" s="112"/>
      <c r="B40" s="112"/>
      <c r="C40" s="80"/>
      <c r="E40" s="112"/>
      <c r="F40" s="80"/>
      <c r="G40" s="80"/>
      <c r="H40" s="151"/>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80"/>
      <c r="AJ40" s="80"/>
      <c r="AK40" s="80"/>
      <c r="AL40" s="80"/>
      <c r="AM40" s="80"/>
      <c r="AN40" s="80"/>
      <c r="AO40" s="80"/>
      <c r="AP40" s="80"/>
      <c r="AQ40" s="80"/>
      <c r="AR40" s="80"/>
      <c r="AS40" s="80"/>
      <c r="AT40" s="80"/>
      <c r="AU40" s="80"/>
      <c r="AV40" s="80"/>
      <c r="AW40" s="80"/>
      <c r="AX40" s="80"/>
      <c r="AY40" s="80"/>
      <c r="AZ40" s="80"/>
    </row>
    <row r="41" spans="1:55" s="515" customFormat="1" ht="40.5" customHeight="1" x14ac:dyDescent="0.25">
      <c r="A41" s="112"/>
      <c r="B41" s="112"/>
      <c r="C41" s="80"/>
      <c r="E41" s="112"/>
      <c r="F41" s="80"/>
      <c r="G41" s="80"/>
      <c r="H41" s="151"/>
      <c r="I41" s="80"/>
      <c r="J41" s="80"/>
      <c r="K41" s="764"/>
      <c r="L41" s="764"/>
      <c r="M41" s="764"/>
      <c r="N41" s="764"/>
      <c r="O41" s="764"/>
      <c r="P41" s="400"/>
      <c r="Q41" s="40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c r="AP41" s="80"/>
      <c r="AQ41" s="80"/>
      <c r="AR41" s="80"/>
      <c r="AS41" s="80"/>
      <c r="AT41" s="80"/>
      <c r="AU41" s="80"/>
      <c r="AV41" s="80"/>
      <c r="AW41" s="80"/>
      <c r="AX41" s="80"/>
      <c r="AY41" s="80"/>
      <c r="AZ41" s="80"/>
    </row>
    <row r="42" spans="1:55" ht="15.75" customHeight="1" x14ac:dyDescent="0.25">
      <c r="B42" s="112"/>
      <c r="D42" s="515"/>
      <c r="E42" s="112"/>
      <c r="H42" s="151"/>
      <c r="K42" s="764"/>
      <c r="L42" s="764"/>
      <c r="M42" s="764"/>
      <c r="N42" s="764"/>
      <c r="O42" s="764"/>
      <c r="P42" s="400"/>
      <c r="Q42" s="400"/>
    </row>
    <row r="43" spans="1:55" ht="23.25" customHeight="1" x14ac:dyDescent="0.25">
      <c r="B43" s="112"/>
      <c r="D43" s="515"/>
      <c r="E43" s="112"/>
      <c r="H43" s="151"/>
    </row>
    <row r="44" spans="1:55" ht="23.25" customHeight="1" x14ac:dyDescent="0.25">
      <c r="B44" s="112"/>
      <c r="D44" s="515"/>
      <c r="E44" s="112"/>
      <c r="H44" s="151"/>
      <c r="K44" s="400"/>
      <c r="L44" s="400"/>
      <c r="M44" s="400"/>
      <c r="N44" s="400"/>
      <c r="O44" s="400"/>
      <c r="P44" s="400"/>
      <c r="Q44" s="400"/>
    </row>
    <row r="45" spans="1:55" ht="23.25" customHeight="1" x14ac:dyDescent="0.25">
      <c r="B45" s="651"/>
      <c r="D45" s="764"/>
      <c r="E45" s="764"/>
      <c r="F45" s="764"/>
      <c r="G45" s="764"/>
      <c r="H45" s="764"/>
      <c r="I45" s="764"/>
      <c r="J45" s="764"/>
      <c r="K45" s="400"/>
      <c r="L45" s="400"/>
      <c r="M45" s="400"/>
      <c r="N45" s="400"/>
      <c r="O45" s="400"/>
      <c r="P45" s="400"/>
      <c r="Q45" s="400"/>
      <c r="R45" s="400"/>
      <c r="S45" s="400"/>
      <c r="T45" s="400"/>
      <c r="U45" s="400"/>
      <c r="V45" s="400"/>
      <c r="W45" s="400"/>
      <c r="X45" s="400"/>
      <c r="Y45" s="400"/>
      <c r="Z45" s="400"/>
      <c r="AA45" s="400"/>
      <c r="AB45" s="400"/>
      <c r="AC45" s="400"/>
      <c r="AD45" s="400"/>
      <c r="AE45" s="400"/>
      <c r="AF45" s="400"/>
      <c r="AG45" s="400"/>
      <c r="AH45" s="400"/>
      <c r="AI45" s="400"/>
      <c r="AJ45" s="400"/>
      <c r="AK45" s="400"/>
      <c r="AL45" s="400"/>
      <c r="AM45" s="400"/>
      <c r="AN45" s="400"/>
      <c r="AO45" s="400"/>
      <c r="AP45" s="400"/>
      <c r="AQ45" s="400"/>
      <c r="AR45" s="400"/>
      <c r="AS45" s="400"/>
      <c r="AT45" s="400"/>
      <c r="AU45" s="400"/>
      <c r="AV45" s="400"/>
      <c r="AW45" s="400"/>
      <c r="AX45" s="400"/>
      <c r="AY45" s="400"/>
      <c r="AZ45" s="400"/>
    </row>
    <row r="46" spans="1:55" ht="66.75" customHeight="1" x14ac:dyDescent="0.25">
      <c r="A46" s="1488" t="s">
        <v>1084</v>
      </c>
      <c r="B46" s="1281"/>
      <c r="C46" s="1485" t="s">
        <v>1087</v>
      </c>
      <c r="D46" s="1486"/>
      <c r="E46" s="1486"/>
      <c r="F46" s="1486"/>
      <c r="G46" s="1486"/>
      <c r="H46" s="1486"/>
      <c r="I46" s="1486"/>
      <c r="J46" s="1487"/>
      <c r="K46" s="400"/>
      <c r="L46" s="400"/>
      <c r="M46" s="400"/>
      <c r="O46" s="400"/>
      <c r="P46" s="400"/>
      <c r="Q46" s="400"/>
      <c r="R46" s="400"/>
      <c r="S46" s="400"/>
      <c r="T46" s="400"/>
      <c r="U46" s="400"/>
      <c r="V46" s="400"/>
      <c r="W46" s="400"/>
      <c r="X46" s="400"/>
      <c r="Y46" s="400"/>
      <c r="Z46" s="400"/>
      <c r="AA46" s="400"/>
      <c r="AB46" s="400"/>
      <c r="AC46" s="400"/>
      <c r="AD46" s="400"/>
      <c r="AE46" s="400"/>
      <c r="AF46" s="400"/>
      <c r="AG46" s="400"/>
      <c r="AH46" s="400"/>
      <c r="AI46" s="400"/>
      <c r="AJ46" s="400"/>
      <c r="AK46" s="400"/>
      <c r="AL46" s="400"/>
      <c r="AM46" s="400"/>
      <c r="AN46" s="400"/>
      <c r="AO46" s="400"/>
      <c r="AP46" s="400"/>
      <c r="AQ46" s="400"/>
      <c r="AR46" s="400"/>
      <c r="AS46" s="400"/>
      <c r="AT46" s="400"/>
      <c r="AU46" s="400"/>
      <c r="AV46" s="400"/>
      <c r="AW46" s="400"/>
      <c r="AX46" s="400"/>
      <c r="AY46" s="400"/>
      <c r="AZ46" s="400"/>
    </row>
    <row r="47" spans="1:55" ht="8.25" customHeight="1" x14ac:dyDescent="0.25">
      <c r="C47" s="124"/>
      <c r="D47" s="60"/>
      <c r="E47" s="124"/>
      <c r="F47" s="124"/>
      <c r="G47" s="124"/>
      <c r="H47" s="124"/>
      <c r="I47" s="124"/>
      <c r="J47" s="124"/>
      <c r="K47" s="400"/>
      <c r="L47" s="400"/>
      <c r="M47" s="400"/>
      <c r="N47" s="400"/>
      <c r="O47" s="400"/>
    </row>
    <row r="48" spans="1:55" ht="54" customHeight="1" x14ac:dyDescent="0.25">
      <c r="A48" s="1488" t="s">
        <v>617</v>
      </c>
      <c r="B48" s="1281"/>
      <c r="C48" s="1485" t="s">
        <v>1086</v>
      </c>
      <c r="D48" s="1486"/>
      <c r="E48" s="1486"/>
      <c r="F48" s="1486"/>
      <c r="G48" s="1486"/>
      <c r="H48" s="1486"/>
      <c r="I48" s="1486"/>
      <c r="J48" s="1487"/>
      <c r="R48" s="400"/>
      <c r="S48" s="400"/>
      <c r="T48" s="400"/>
      <c r="U48" s="400"/>
      <c r="V48" s="400"/>
      <c r="W48" s="400"/>
      <c r="X48" s="400"/>
      <c r="Y48" s="400"/>
      <c r="Z48" s="400"/>
      <c r="AA48" s="400"/>
      <c r="AB48" s="400"/>
      <c r="AC48" s="400"/>
      <c r="AD48" s="400"/>
      <c r="AE48" s="400"/>
      <c r="AF48" s="400"/>
      <c r="AG48" s="400"/>
      <c r="AH48" s="400"/>
      <c r="AI48" s="400"/>
      <c r="AJ48" s="400"/>
      <c r="AK48" s="400"/>
      <c r="AL48" s="400"/>
      <c r="AM48" s="400"/>
      <c r="AN48" s="400"/>
      <c r="AO48" s="400"/>
      <c r="AP48" s="400"/>
      <c r="AQ48" s="400"/>
      <c r="AR48" s="400"/>
      <c r="AS48" s="400"/>
      <c r="AT48" s="400"/>
      <c r="AU48" s="400"/>
      <c r="AV48" s="400"/>
      <c r="AW48" s="400"/>
      <c r="AX48" s="400"/>
      <c r="AY48" s="400"/>
      <c r="AZ48" s="400"/>
    </row>
    <row r="49" spans="1:52" ht="15.75" customHeight="1" x14ac:dyDescent="0.25">
      <c r="A49" s="651"/>
      <c r="B49" s="651"/>
      <c r="C49" s="1485" t="s">
        <v>594</v>
      </c>
      <c r="D49" s="1486"/>
      <c r="E49" s="1486"/>
      <c r="F49" s="1486"/>
      <c r="G49" s="1486"/>
      <c r="H49" s="1486"/>
      <c r="I49" s="1486"/>
      <c r="J49" s="1487"/>
      <c r="R49" s="400"/>
      <c r="S49" s="400"/>
      <c r="T49" s="400"/>
      <c r="U49" s="400"/>
      <c r="V49" s="400"/>
      <c r="W49" s="400"/>
      <c r="X49" s="400"/>
      <c r="Y49" s="400"/>
      <c r="Z49" s="400"/>
      <c r="AA49" s="400"/>
      <c r="AB49" s="400"/>
      <c r="AC49" s="400"/>
      <c r="AD49" s="400"/>
      <c r="AE49" s="400"/>
      <c r="AF49" s="400"/>
      <c r="AG49" s="400"/>
      <c r="AH49" s="400"/>
      <c r="AI49" s="400"/>
      <c r="AJ49" s="400"/>
      <c r="AK49" s="400"/>
      <c r="AL49" s="400"/>
      <c r="AM49" s="400"/>
      <c r="AN49" s="400"/>
      <c r="AO49" s="400"/>
      <c r="AP49" s="400"/>
      <c r="AQ49" s="400"/>
      <c r="AR49" s="400"/>
      <c r="AS49" s="400"/>
      <c r="AT49" s="400"/>
      <c r="AU49" s="400"/>
      <c r="AV49" s="400"/>
      <c r="AW49" s="400"/>
      <c r="AX49" s="400"/>
      <c r="AY49" s="400"/>
      <c r="AZ49" s="400"/>
    </row>
    <row r="50" spans="1:52" ht="20.25" customHeight="1" x14ac:dyDescent="0.25">
      <c r="A50" s="400"/>
      <c r="B50" s="400"/>
      <c r="C50" s="400"/>
      <c r="D50" s="400"/>
      <c r="E50" s="400"/>
      <c r="F50" s="400"/>
      <c r="G50" s="400"/>
      <c r="H50" s="400"/>
      <c r="I50" s="400"/>
      <c r="J50" s="400"/>
      <c r="R50" s="400"/>
      <c r="S50" s="400"/>
      <c r="T50" s="400"/>
      <c r="U50" s="400"/>
      <c r="V50" s="400"/>
      <c r="W50" s="400"/>
      <c r="X50" s="400"/>
      <c r="Y50" s="400"/>
      <c r="Z50" s="400"/>
      <c r="AA50" s="400"/>
      <c r="AB50" s="400"/>
      <c r="AC50" s="400"/>
      <c r="AD50" s="400"/>
      <c r="AE50" s="400"/>
      <c r="AF50" s="400"/>
      <c r="AG50" s="400"/>
      <c r="AH50" s="400"/>
      <c r="AI50" s="400"/>
      <c r="AJ50" s="400"/>
      <c r="AK50" s="400"/>
      <c r="AL50" s="400"/>
      <c r="AM50" s="400"/>
      <c r="AN50" s="400"/>
      <c r="AO50" s="400"/>
      <c r="AP50" s="400"/>
      <c r="AQ50" s="400"/>
      <c r="AR50" s="400"/>
      <c r="AS50" s="400"/>
      <c r="AT50" s="400"/>
      <c r="AU50" s="400"/>
      <c r="AV50" s="400"/>
      <c r="AW50" s="400"/>
      <c r="AX50" s="400"/>
      <c r="AY50" s="400"/>
      <c r="AZ50" s="400"/>
    </row>
    <row r="51" spans="1:52" ht="15.75" customHeight="1" x14ac:dyDescent="0.25">
      <c r="A51" s="400"/>
      <c r="B51" s="400"/>
      <c r="D51" s="400"/>
      <c r="E51" s="400"/>
      <c r="F51" s="400"/>
      <c r="G51" s="400"/>
      <c r="H51" s="400"/>
      <c r="I51" s="400"/>
      <c r="J51" s="400"/>
    </row>
    <row r="52" spans="1:52" ht="15.75" customHeight="1" x14ac:dyDescent="0.25">
      <c r="A52" s="516"/>
      <c r="B52" s="441"/>
      <c r="C52" s="517"/>
      <c r="D52" s="518"/>
    </row>
    <row r="53" spans="1:52" ht="15.75" customHeight="1" x14ac:dyDescent="0.25">
      <c r="A53" s="516"/>
      <c r="B53" s="442"/>
      <c r="C53" s="19"/>
      <c r="D53" s="19"/>
    </row>
    <row r="54" spans="1:52" ht="15.75" customHeight="1" x14ac:dyDescent="0.25">
      <c r="A54" s="516"/>
      <c r="B54" s="442"/>
      <c r="C54" s="19"/>
      <c r="D54" s="19"/>
    </row>
    <row r="55" spans="1:52" ht="15.75" customHeight="1" x14ac:dyDescent="0.25">
      <c r="A55" s="80"/>
      <c r="B55" s="442"/>
      <c r="C55" s="459"/>
      <c r="D55" s="459"/>
    </row>
    <row r="56" spans="1:52" ht="15.75" customHeight="1" x14ac:dyDescent="0.25">
      <c r="Q56" s="122"/>
    </row>
    <row r="57" spans="1:52" ht="15.75" customHeight="1" x14ac:dyDescent="0.25">
      <c r="A57" s="147" t="s">
        <v>832</v>
      </c>
      <c r="Q57" s="122"/>
    </row>
    <row r="58" spans="1:52" ht="15.75" customHeight="1" x14ac:dyDescent="0.25"/>
    <row r="59" spans="1:52" ht="15.75" customHeight="1" x14ac:dyDescent="0.25">
      <c r="A59" s="665" t="s">
        <v>830</v>
      </c>
      <c r="B59" s="665"/>
      <c r="C59" s="124"/>
      <c r="D59" s="1382"/>
      <c r="E59" s="1382"/>
      <c r="F59" s="240"/>
    </row>
    <row r="60" spans="1:52" ht="15.75" customHeight="1" x14ac:dyDescent="0.25">
      <c r="A60" s="665"/>
      <c r="B60" s="665"/>
      <c r="C60" s="312" t="s">
        <v>177</v>
      </c>
      <c r="D60" s="312" t="s">
        <v>290</v>
      </c>
      <c r="E60" s="1484" t="s">
        <v>834</v>
      </c>
      <c r="F60" s="1267"/>
      <c r="R60" s="122"/>
      <c r="S60" s="122"/>
      <c r="T60" s="122"/>
      <c r="U60" s="122"/>
      <c r="V60" s="122"/>
      <c r="W60" s="122"/>
      <c r="X60" s="122"/>
      <c r="Y60" s="122"/>
      <c r="Z60" s="122"/>
      <c r="AA60" s="122"/>
      <c r="AB60" s="122"/>
      <c r="AC60" s="122"/>
      <c r="AD60" s="122"/>
      <c r="AE60" s="122"/>
      <c r="AF60" s="122"/>
      <c r="AG60" s="122"/>
      <c r="AH60" s="122"/>
      <c r="AI60" s="122"/>
      <c r="AJ60" s="122"/>
      <c r="AK60" s="122"/>
      <c r="AL60" s="122"/>
      <c r="AM60" s="122"/>
      <c r="AN60" s="122"/>
      <c r="AO60" s="122"/>
      <c r="AP60" s="122"/>
      <c r="AQ60" s="122"/>
      <c r="AR60" s="122"/>
      <c r="AS60" s="122"/>
      <c r="AT60" s="122"/>
      <c r="AU60" s="122"/>
      <c r="AV60" s="122"/>
      <c r="AW60" s="122"/>
      <c r="AX60" s="122"/>
      <c r="AY60" s="122"/>
      <c r="AZ60" s="122"/>
    </row>
    <row r="61" spans="1:52" ht="15.75" customHeight="1" x14ac:dyDescent="0.25">
      <c r="A61" s="166" t="s">
        <v>805</v>
      </c>
      <c r="B61" s="166"/>
      <c r="C61" s="744">
        <v>0</v>
      </c>
      <c r="D61" s="744">
        <v>0</v>
      </c>
      <c r="E61" s="179">
        <v>0</v>
      </c>
      <c r="F61" s="129"/>
      <c r="R61" s="122"/>
      <c r="S61" s="122"/>
      <c r="T61" s="122"/>
      <c r="U61" s="122"/>
      <c r="V61" s="122"/>
      <c r="W61" s="122"/>
      <c r="X61" s="122"/>
      <c r="Y61" s="122"/>
      <c r="Z61" s="122"/>
      <c r="AA61" s="122"/>
      <c r="AB61" s="122"/>
      <c r="AC61" s="122"/>
      <c r="AD61" s="122"/>
      <c r="AE61" s="122"/>
      <c r="AF61" s="122"/>
      <c r="AG61" s="122"/>
      <c r="AH61" s="122"/>
      <c r="AI61" s="122"/>
      <c r="AJ61" s="122"/>
      <c r="AK61" s="122"/>
      <c r="AL61" s="122"/>
      <c r="AM61" s="122"/>
      <c r="AN61" s="122"/>
      <c r="AO61" s="122"/>
      <c r="AP61" s="122"/>
      <c r="AQ61" s="122"/>
      <c r="AR61" s="122"/>
      <c r="AS61" s="122"/>
      <c r="AT61" s="122"/>
      <c r="AU61" s="122"/>
      <c r="AV61" s="122"/>
      <c r="AW61" s="122"/>
      <c r="AX61" s="122"/>
      <c r="AY61" s="122"/>
      <c r="AZ61" s="122"/>
    </row>
    <row r="62" spans="1:52" ht="15.75" customHeight="1" x14ac:dyDescent="0.25">
      <c r="A62" s="166" t="s">
        <v>293</v>
      </c>
      <c r="B62" s="166"/>
      <c r="C62" s="744">
        <v>15.5</v>
      </c>
      <c r="D62" s="744">
        <v>0</v>
      </c>
      <c r="E62" s="179">
        <v>100</v>
      </c>
      <c r="F62" s="129"/>
      <c r="V62" s="147"/>
    </row>
    <row r="63" spans="1:52" ht="15.75" customHeight="1" x14ac:dyDescent="0.25">
      <c r="A63" s="166" t="s">
        <v>841</v>
      </c>
      <c r="B63" s="166"/>
      <c r="C63" s="744">
        <v>27</v>
      </c>
      <c r="D63" s="744">
        <v>0</v>
      </c>
      <c r="E63" s="179">
        <v>100</v>
      </c>
      <c r="F63" s="129"/>
    </row>
    <row r="64" spans="1:52" ht="15.75" customHeight="1" x14ac:dyDescent="0.25">
      <c r="A64" s="166" t="s">
        <v>845</v>
      </c>
      <c r="B64" s="166"/>
      <c r="C64" s="744">
        <v>24</v>
      </c>
      <c r="D64" s="744">
        <v>0</v>
      </c>
      <c r="E64" s="179">
        <v>100</v>
      </c>
      <c r="F64" s="129"/>
      <c r="U64" s="665"/>
      <c r="V64" s="665"/>
      <c r="W64" s="124"/>
      <c r="X64" s="124"/>
      <c r="Z64" s="240"/>
    </row>
    <row r="65" spans="1:26" ht="15.75" customHeight="1" x14ac:dyDescent="0.25">
      <c r="A65" s="166" t="s">
        <v>294</v>
      </c>
      <c r="B65" s="166"/>
      <c r="C65" s="744">
        <v>24</v>
      </c>
      <c r="D65" s="744">
        <v>0</v>
      </c>
      <c r="E65" s="179">
        <v>100</v>
      </c>
      <c r="F65" s="129"/>
      <c r="U65" s="665"/>
      <c r="V65" s="665"/>
      <c r="W65" s="124"/>
      <c r="X65" s="519"/>
      <c r="Y65" s="519"/>
      <c r="Z65" s="701"/>
    </row>
    <row r="66" spans="1:26" ht="15.75" customHeight="1" x14ac:dyDescent="0.25">
      <c r="A66" s="166" t="s">
        <v>842</v>
      </c>
      <c r="B66" s="166"/>
      <c r="C66" s="744">
        <v>26</v>
      </c>
      <c r="D66" s="744">
        <v>0</v>
      </c>
      <c r="E66" s="179">
        <v>100</v>
      </c>
      <c r="F66" s="129"/>
      <c r="U66" s="166"/>
      <c r="V66" s="166"/>
      <c r="W66" s="124"/>
      <c r="X66" s="123"/>
      <c r="Y66" s="123"/>
      <c r="Z66" s="129"/>
    </row>
    <row r="67" spans="1:26" ht="15.75" customHeight="1" x14ac:dyDescent="0.25">
      <c r="A67" s="166" t="s">
        <v>846</v>
      </c>
      <c r="B67" s="166"/>
      <c r="C67" s="744">
        <v>21</v>
      </c>
      <c r="D67" s="744">
        <v>0</v>
      </c>
      <c r="E67" s="179">
        <v>100</v>
      </c>
      <c r="F67" s="129"/>
      <c r="U67" s="166"/>
      <c r="V67" s="166"/>
      <c r="W67" s="124"/>
      <c r="X67" s="123"/>
      <c r="Y67" s="123"/>
      <c r="Z67" s="129"/>
    </row>
    <row r="68" spans="1:26" ht="15.75" customHeight="1" x14ac:dyDescent="0.25">
      <c r="A68" s="166" t="s">
        <v>843</v>
      </c>
      <c r="B68" s="166"/>
      <c r="C68" s="744">
        <v>33</v>
      </c>
      <c r="D68" s="744">
        <v>0</v>
      </c>
      <c r="E68" s="179">
        <v>100</v>
      </c>
      <c r="F68" s="129"/>
      <c r="U68" s="166"/>
      <c r="V68" s="166"/>
      <c r="W68" s="124"/>
      <c r="X68" s="123"/>
      <c r="Y68" s="123"/>
      <c r="Z68" s="129"/>
    </row>
    <row r="69" spans="1:26" ht="15.75" customHeight="1" x14ac:dyDescent="0.25">
      <c r="A69" s="166" t="s">
        <v>844</v>
      </c>
      <c r="B69" s="166"/>
      <c r="C69" s="167">
        <v>38</v>
      </c>
      <c r="D69" s="744">
        <v>0</v>
      </c>
      <c r="E69" s="179">
        <v>100</v>
      </c>
      <c r="F69" s="129"/>
      <c r="U69" s="166"/>
      <c r="V69" s="166"/>
      <c r="W69" s="124"/>
      <c r="X69" s="123"/>
      <c r="Y69" s="123"/>
      <c r="Z69" s="129"/>
    </row>
    <row r="70" spans="1:26" ht="15.75" customHeight="1" x14ac:dyDescent="0.25">
      <c r="A70" s="166" t="s">
        <v>295</v>
      </c>
      <c r="B70" s="166"/>
      <c r="C70" s="744">
        <v>46</v>
      </c>
      <c r="D70" s="744">
        <v>0</v>
      </c>
      <c r="E70" s="179">
        <v>100</v>
      </c>
      <c r="F70" s="129"/>
      <c r="U70" s="166"/>
      <c r="V70" s="166"/>
      <c r="W70" s="124"/>
      <c r="X70" s="123"/>
      <c r="Y70" s="123"/>
      <c r="Z70" s="129"/>
    </row>
    <row r="71" spans="1:26" ht="15.75" customHeight="1" x14ac:dyDescent="0.25">
      <c r="A71" s="166" t="s">
        <v>806</v>
      </c>
      <c r="B71" s="166"/>
      <c r="C71" s="744">
        <v>28</v>
      </c>
      <c r="D71" s="744">
        <v>0</v>
      </c>
      <c r="E71" s="179">
        <v>100</v>
      </c>
      <c r="F71" s="129"/>
      <c r="U71" s="166"/>
      <c r="V71" s="166"/>
      <c r="W71" s="124"/>
      <c r="X71" s="123"/>
      <c r="Y71" s="123"/>
      <c r="Z71" s="129"/>
    </row>
    <row r="72" spans="1:26" ht="15.75" customHeight="1" x14ac:dyDescent="0.25">
      <c r="A72" s="166" t="s">
        <v>807</v>
      </c>
      <c r="B72" s="166"/>
      <c r="C72" s="167">
        <v>30</v>
      </c>
      <c r="D72" s="744">
        <v>0</v>
      </c>
      <c r="E72" s="179">
        <v>100</v>
      </c>
      <c r="F72" s="129"/>
      <c r="U72" s="166"/>
      <c r="V72" s="166"/>
      <c r="W72" s="124"/>
      <c r="X72" s="123"/>
      <c r="Y72" s="123"/>
      <c r="Z72" s="129"/>
    </row>
    <row r="73" spans="1:26" ht="15.75" customHeight="1" x14ac:dyDescent="0.25">
      <c r="A73" s="166" t="s">
        <v>296</v>
      </c>
      <c r="B73" s="166"/>
      <c r="C73" s="744">
        <v>8</v>
      </c>
      <c r="D73" s="744">
        <v>0</v>
      </c>
      <c r="E73" s="179">
        <v>100</v>
      </c>
      <c r="F73" s="129"/>
      <c r="U73" s="166"/>
      <c r="V73" s="166"/>
      <c r="W73" s="124"/>
      <c r="X73" s="123"/>
      <c r="Y73" s="123"/>
      <c r="Z73" s="129"/>
    </row>
    <row r="74" spans="1:26" ht="15.75" customHeight="1" x14ac:dyDescent="0.25">
      <c r="A74" s="166" t="s">
        <v>847</v>
      </c>
      <c r="B74" s="166"/>
      <c r="C74" s="744">
        <v>15</v>
      </c>
      <c r="D74" s="744">
        <v>0</v>
      </c>
      <c r="E74" s="179">
        <v>100</v>
      </c>
      <c r="F74" s="129"/>
      <c r="U74" s="166"/>
      <c r="V74" s="166"/>
      <c r="W74" s="124"/>
      <c r="X74" s="123"/>
      <c r="Y74" s="123"/>
      <c r="Z74" s="129"/>
    </row>
    <row r="75" spans="1:26" ht="15.75" customHeight="1" x14ac:dyDescent="0.25">
      <c r="A75" s="166" t="s">
        <v>297</v>
      </c>
      <c r="B75" s="166"/>
      <c r="C75" s="744">
        <v>19.8</v>
      </c>
      <c r="D75" s="744">
        <v>0</v>
      </c>
      <c r="E75" s="179">
        <v>100</v>
      </c>
      <c r="F75" s="129"/>
      <c r="U75" s="166"/>
      <c r="V75" s="166"/>
      <c r="W75" s="124"/>
      <c r="X75" s="123"/>
      <c r="Y75" s="123"/>
      <c r="Z75" s="129"/>
    </row>
    <row r="76" spans="1:26" ht="15.75" customHeight="1" x14ac:dyDescent="0.25">
      <c r="A76" s="166" t="s">
        <v>808</v>
      </c>
      <c r="B76" s="166"/>
      <c r="C76" s="744">
        <v>20</v>
      </c>
      <c r="D76" s="744">
        <v>20</v>
      </c>
      <c r="E76" s="179">
        <v>100</v>
      </c>
      <c r="F76" s="129"/>
      <c r="U76" s="166"/>
      <c r="V76" s="166"/>
      <c r="W76" s="124"/>
      <c r="X76" s="123"/>
      <c r="Y76" s="123"/>
      <c r="Z76" s="129"/>
    </row>
    <row r="77" spans="1:26" ht="15.75" customHeight="1" x14ac:dyDescent="0.25">
      <c r="A77" s="166" t="s">
        <v>809</v>
      </c>
      <c r="B77" s="166"/>
      <c r="C77" s="744">
        <v>10</v>
      </c>
      <c r="D77" s="744">
        <v>34</v>
      </c>
      <c r="E77" s="179">
        <v>100</v>
      </c>
      <c r="F77" s="129"/>
      <c r="U77" s="166"/>
      <c r="V77" s="166"/>
      <c r="W77" s="124"/>
      <c r="X77" s="123"/>
      <c r="Y77" s="123"/>
      <c r="Z77" s="129"/>
    </row>
    <row r="78" spans="1:26" ht="15.75" customHeight="1" x14ac:dyDescent="0.25">
      <c r="A78" s="166" t="s">
        <v>848</v>
      </c>
      <c r="B78" s="166"/>
      <c r="C78" s="744">
        <v>18</v>
      </c>
      <c r="D78" s="744">
        <v>46</v>
      </c>
      <c r="E78" s="179">
        <v>100</v>
      </c>
      <c r="F78" s="129"/>
      <c r="U78" s="166"/>
      <c r="V78" s="166"/>
      <c r="W78" s="124"/>
      <c r="X78" s="123"/>
      <c r="Y78" s="123"/>
      <c r="Z78" s="129"/>
    </row>
    <row r="79" spans="1:26" ht="15.75" customHeight="1" x14ac:dyDescent="0.25">
      <c r="A79" s="166" t="s">
        <v>810</v>
      </c>
      <c r="B79" s="166"/>
      <c r="C79" s="744">
        <v>15</v>
      </c>
      <c r="D79" s="744">
        <v>15</v>
      </c>
      <c r="E79" s="179">
        <v>100</v>
      </c>
      <c r="F79" s="129"/>
      <c r="U79" s="166"/>
      <c r="V79" s="166"/>
      <c r="W79" s="124"/>
      <c r="X79" s="123"/>
      <c r="Y79" s="123"/>
      <c r="Z79" s="129"/>
    </row>
    <row r="80" spans="1:26" ht="15.75" customHeight="1" x14ac:dyDescent="0.25">
      <c r="A80" s="166" t="s">
        <v>811</v>
      </c>
      <c r="B80" s="166"/>
      <c r="C80" s="167">
        <v>13</v>
      </c>
      <c r="D80" s="167">
        <v>13</v>
      </c>
      <c r="E80" s="179">
        <v>100</v>
      </c>
      <c r="F80" s="129"/>
      <c r="U80" s="166"/>
      <c r="V80" s="166"/>
      <c r="W80" s="124"/>
      <c r="X80" s="123"/>
      <c r="Y80" s="123"/>
      <c r="Z80" s="129"/>
    </row>
    <row r="81" spans="1:31" ht="15.75" customHeight="1" x14ac:dyDescent="0.25">
      <c r="A81" s="166" t="s">
        <v>812</v>
      </c>
      <c r="B81" s="166"/>
      <c r="C81" s="763">
        <v>20</v>
      </c>
      <c r="D81" s="763">
        <v>8</v>
      </c>
      <c r="E81" s="179">
        <v>100</v>
      </c>
      <c r="F81" s="129"/>
      <c r="U81" s="166"/>
      <c r="V81" s="166"/>
      <c r="W81" s="124"/>
      <c r="X81" s="123"/>
      <c r="Y81" s="123"/>
      <c r="Z81" s="129"/>
    </row>
    <row r="82" spans="1:31" ht="15.75" customHeight="1" x14ac:dyDescent="0.25">
      <c r="A82" s="166" t="s">
        <v>298</v>
      </c>
      <c r="B82" s="166"/>
      <c r="C82" s="762">
        <v>0</v>
      </c>
      <c r="D82" s="744">
        <v>18</v>
      </c>
      <c r="E82" s="179">
        <v>100</v>
      </c>
      <c r="F82" s="129"/>
      <c r="U82" s="166"/>
      <c r="V82" s="166"/>
      <c r="W82" s="124"/>
      <c r="X82" s="123"/>
      <c r="Y82" s="123"/>
      <c r="Z82" s="129"/>
    </row>
    <row r="83" spans="1:31" s="112" customFormat="1" ht="15.75" customHeight="1" x14ac:dyDescent="0.25">
      <c r="A83" s="166" t="s">
        <v>849</v>
      </c>
      <c r="B83" s="166"/>
      <c r="C83" s="762">
        <v>0</v>
      </c>
      <c r="D83" s="744">
        <v>46</v>
      </c>
      <c r="E83" s="179">
        <v>100</v>
      </c>
      <c r="F83" s="129"/>
      <c r="G83" s="80"/>
      <c r="H83" s="80"/>
      <c r="I83" s="80"/>
      <c r="J83" s="80"/>
      <c r="K83" s="80"/>
      <c r="L83" s="80"/>
      <c r="M83" s="80"/>
      <c r="N83" s="80"/>
      <c r="O83" s="80"/>
      <c r="P83" s="80"/>
      <c r="Q83" s="80"/>
      <c r="R83" s="80"/>
      <c r="S83" s="80"/>
      <c r="T83" s="80"/>
      <c r="U83" s="166"/>
      <c r="V83" s="166"/>
      <c r="W83" s="124"/>
      <c r="X83" s="123"/>
      <c r="Y83" s="123"/>
      <c r="Z83" s="129"/>
      <c r="AA83" s="80"/>
      <c r="AB83" s="80"/>
      <c r="AC83" s="80"/>
      <c r="AD83" s="80"/>
      <c r="AE83" s="80"/>
    </row>
    <row r="84" spans="1:31" s="112" customFormat="1" ht="15.75" customHeight="1" x14ac:dyDescent="0.25">
      <c r="A84" s="166" t="s">
        <v>1125</v>
      </c>
      <c r="B84" s="166"/>
      <c r="C84" s="762">
        <v>0</v>
      </c>
      <c r="D84" s="762">
        <v>0</v>
      </c>
      <c r="E84" s="179">
        <v>100</v>
      </c>
      <c r="F84" s="129"/>
      <c r="G84" s="80"/>
      <c r="H84" s="80"/>
      <c r="I84" s="80"/>
      <c r="J84" s="80"/>
      <c r="K84" s="80"/>
      <c r="L84" s="80"/>
      <c r="M84" s="80"/>
      <c r="N84" s="80"/>
      <c r="O84" s="80"/>
      <c r="P84" s="80"/>
      <c r="Q84" s="80"/>
      <c r="R84" s="80"/>
      <c r="S84" s="80"/>
      <c r="T84" s="80"/>
      <c r="U84" s="166"/>
      <c r="V84" s="166"/>
      <c r="W84" s="124"/>
      <c r="X84" s="123"/>
      <c r="Y84" s="123"/>
      <c r="Z84" s="129"/>
      <c r="AA84" s="80"/>
      <c r="AB84" s="80"/>
      <c r="AC84" s="80"/>
      <c r="AD84" s="80"/>
      <c r="AE84" s="80"/>
    </row>
    <row r="85" spans="1:31" s="112" customFormat="1" ht="15.75" customHeight="1" x14ac:dyDescent="0.25">
      <c r="A85" s="166" t="s">
        <v>1126</v>
      </c>
      <c r="B85" s="166"/>
      <c r="C85" s="762">
        <v>0</v>
      </c>
      <c r="D85" s="762">
        <v>0</v>
      </c>
      <c r="E85" s="179">
        <v>100</v>
      </c>
      <c r="F85" s="129"/>
      <c r="G85" s="80"/>
      <c r="H85" s="80"/>
      <c r="I85" s="80"/>
      <c r="J85" s="80"/>
      <c r="K85" s="80"/>
      <c r="L85" s="80"/>
      <c r="M85" s="80"/>
      <c r="N85" s="80"/>
      <c r="O85" s="80"/>
      <c r="P85" s="80"/>
      <c r="Q85" s="80"/>
      <c r="R85" s="80"/>
      <c r="S85" s="80"/>
      <c r="T85" s="80"/>
      <c r="U85" s="166"/>
      <c r="V85" s="166"/>
      <c r="W85" s="124"/>
      <c r="X85" s="123"/>
      <c r="Y85" s="123"/>
      <c r="Z85" s="129"/>
      <c r="AA85" s="80"/>
      <c r="AB85" s="80"/>
      <c r="AC85" s="80"/>
      <c r="AD85" s="80"/>
      <c r="AE85" s="80"/>
    </row>
    <row r="86" spans="1:31" s="112" customFormat="1" ht="15.75" customHeight="1" x14ac:dyDescent="0.25">
      <c r="A86" s="166" t="s">
        <v>1127</v>
      </c>
      <c r="B86" s="166"/>
      <c r="C86" s="762">
        <v>0</v>
      </c>
      <c r="D86" s="762">
        <v>0</v>
      </c>
      <c r="E86" s="179">
        <v>100</v>
      </c>
      <c r="F86" s="129"/>
      <c r="G86" s="80"/>
      <c r="H86" s="80"/>
      <c r="I86" s="80"/>
      <c r="J86" s="80"/>
      <c r="K86" s="80"/>
      <c r="L86" s="80"/>
      <c r="M86" s="80"/>
      <c r="N86" s="80"/>
      <c r="O86" s="80"/>
      <c r="P86" s="80"/>
      <c r="Q86" s="80"/>
      <c r="R86" s="80"/>
      <c r="S86" s="80"/>
      <c r="T86" s="80"/>
      <c r="U86" s="166"/>
      <c r="V86" s="166"/>
      <c r="W86" s="124"/>
      <c r="X86" s="123"/>
      <c r="Y86" s="123"/>
      <c r="Z86" s="129"/>
      <c r="AA86" s="80"/>
      <c r="AB86" s="80"/>
      <c r="AC86" s="80"/>
      <c r="AD86" s="80"/>
      <c r="AE86" s="80"/>
    </row>
    <row r="87" spans="1:31" s="112" customFormat="1" ht="15.75" customHeight="1" x14ac:dyDescent="0.25">
      <c r="A87" s="166" t="s">
        <v>1128</v>
      </c>
      <c r="B87" s="166"/>
      <c r="C87" s="762">
        <v>0</v>
      </c>
      <c r="D87" s="762">
        <v>0</v>
      </c>
      <c r="E87" s="179">
        <v>100</v>
      </c>
      <c r="F87" s="129"/>
      <c r="G87" s="80"/>
      <c r="H87" s="80"/>
      <c r="I87" s="80"/>
      <c r="J87" s="80"/>
      <c r="K87" s="80"/>
      <c r="L87" s="80"/>
      <c r="M87" s="80"/>
      <c r="N87" s="80"/>
      <c r="O87" s="80"/>
      <c r="P87" s="80"/>
      <c r="Q87" s="80"/>
      <c r="R87" s="80"/>
      <c r="S87" s="80"/>
      <c r="T87" s="80"/>
      <c r="U87" s="166"/>
      <c r="V87" s="166"/>
      <c r="W87" s="124"/>
      <c r="X87" s="124"/>
      <c r="Y87" s="123"/>
      <c r="Z87" s="129"/>
      <c r="AA87" s="80"/>
      <c r="AB87" s="80"/>
      <c r="AC87" s="80"/>
      <c r="AD87" s="80"/>
      <c r="AE87" s="80"/>
    </row>
    <row r="88" spans="1:31" s="112" customFormat="1" ht="15.75" customHeight="1" x14ac:dyDescent="0.25">
      <c r="A88" s="149" t="s">
        <v>184</v>
      </c>
      <c r="B88" s="149"/>
      <c r="C88" s="762">
        <v>0.33</v>
      </c>
      <c r="D88" s="762">
        <v>0.14000000000000001</v>
      </c>
      <c r="E88" s="179">
        <v>60</v>
      </c>
      <c r="F88" s="129"/>
      <c r="G88" s="80"/>
      <c r="H88" s="80"/>
      <c r="I88" s="80"/>
      <c r="J88" s="80"/>
      <c r="K88" s="80"/>
      <c r="L88" s="80"/>
      <c r="M88" s="80"/>
      <c r="N88" s="80"/>
      <c r="O88" s="80"/>
      <c r="P88" s="80"/>
      <c r="Q88" s="80"/>
      <c r="R88" s="80"/>
      <c r="S88" s="80"/>
      <c r="T88" s="80"/>
      <c r="U88" s="166"/>
      <c r="V88" s="166"/>
      <c r="W88" s="124"/>
      <c r="X88" s="124"/>
      <c r="Y88" s="123"/>
      <c r="Z88" s="129"/>
      <c r="AA88" s="80"/>
      <c r="AB88" s="80"/>
      <c r="AC88" s="80"/>
      <c r="AD88" s="80"/>
      <c r="AE88" s="80"/>
    </row>
    <row r="89" spans="1:31" s="112" customFormat="1" ht="15.75" customHeight="1" x14ac:dyDescent="0.25">
      <c r="A89" s="149" t="s">
        <v>185</v>
      </c>
      <c r="B89" s="149"/>
      <c r="C89" s="762">
        <v>0.4</v>
      </c>
      <c r="D89" s="762">
        <v>0.17</v>
      </c>
      <c r="E89" s="179">
        <v>70</v>
      </c>
      <c r="F89" s="129"/>
      <c r="G89" s="80"/>
      <c r="H89" s="80"/>
      <c r="I89" s="80"/>
      <c r="J89" s="80"/>
      <c r="K89" s="80"/>
      <c r="L89" s="80"/>
      <c r="M89" s="80"/>
      <c r="N89" s="80"/>
      <c r="O89" s="80"/>
      <c r="P89" s="80"/>
      <c r="Q89" s="80"/>
      <c r="R89" s="80"/>
      <c r="S89" s="80"/>
      <c r="T89" s="80"/>
      <c r="U89" s="166"/>
      <c r="V89" s="166"/>
      <c r="W89" s="124"/>
      <c r="X89" s="124"/>
      <c r="Y89" s="124"/>
      <c r="Z89" s="129"/>
      <c r="AA89" s="80"/>
      <c r="AB89" s="80"/>
      <c r="AC89" s="80"/>
      <c r="AD89" s="80"/>
      <c r="AE89" s="80"/>
    </row>
    <row r="90" spans="1:31" s="112" customFormat="1" ht="15.75" customHeight="1" x14ac:dyDescent="0.25">
      <c r="A90" s="149" t="s">
        <v>817</v>
      </c>
      <c r="B90" s="149"/>
      <c r="C90" s="762">
        <v>0.61</v>
      </c>
      <c r="D90" s="744">
        <v>0.33</v>
      </c>
      <c r="E90" s="179">
        <v>25</v>
      </c>
      <c r="F90" s="129"/>
      <c r="G90" s="80"/>
      <c r="H90" s="80"/>
      <c r="I90" s="80"/>
      <c r="J90" s="80"/>
      <c r="K90" s="80"/>
      <c r="L90" s="80"/>
      <c r="M90" s="80"/>
      <c r="N90" s="80"/>
      <c r="O90" s="80"/>
      <c r="P90" s="80"/>
      <c r="Q90" s="80"/>
      <c r="R90" s="80"/>
      <c r="S90" s="80"/>
      <c r="T90" s="80"/>
      <c r="U90" s="166"/>
      <c r="V90" s="166"/>
      <c r="W90" s="124"/>
      <c r="X90" s="124"/>
      <c r="Y90" s="124"/>
      <c r="Z90" s="129"/>
      <c r="AA90" s="80"/>
      <c r="AB90" s="80"/>
      <c r="AC90" s="80"/>
      <c r="AD90" s="80"/>
      <c r="AE90" s="80"/>
    </row>
    <row r="91" spans="1:31" s="112" customFormat="1" ht="15.75" customHeight="1" x14ac:dyDescent="0.25">
      <c r="A91" s="149" t="s">
        <v>840</v>
      </c>
      <c r="B91" s="149"/>
      <c r="C91" s="762">
        <v>0.26</v>
      </c>
      <c r="D91" s="744">
        <v>0.02</v>
      </c>
      <c r="E91" s="179">
        <v>90</v>
      </c>
      <c r="F91" s="129"/>
      <c r="G91" s="80"/>
      <c r="H91" s="80"/>
      <c r="I91" s="80"/>
      <c r="J91" s="80"/>
      <c r="K91" s="80"/>
      <c r="L91" s="80"/>
      <c r="M91" s="80"/>
      <c r="N91" s="80"/>
      <c r="O91" s="80"/>
      <c r="P91" s="80"/>
      <c r="Q91" s="80"/>
      <c r="R91" s="80"/>
      <c r="S91" s="80"/>
      <c r="T91" s="80"/>
      <c r="U91" s="166"/>
      <c r="V91" s="166"/>
      <c r="W91" s="124"/>
      <c r="X91" s="124"/>
      <c r="Y91" s="124"/>
      <c r="Z91" s="129"/>
      <c r="AA91" s="80"/>
      <c r="AB91" s="80"/>
      <c r="AC91" s="80"/>
      <c r="AD91" s="80"/>
      <c r="AE91" s="80"/>
    </row>
    <row r="92" spans="1:31" s="112" customFormat="1" ht="15.75" customHeight="1" x14ac:dyDescent="0.25">
      <c r="A92" s="149" t="s">
        <v>835</v>
      </c>
      <c r="B92" s="149"/>
      <c r="C92" s="762">
        <v>0.76</v>
      </c>
      <c r="D92" s="744">
        <v>0.66</v>
      </c>
      <c r="E92" s="179">
        <v>30</v>
      </c>
      <c r="F92" s="129"/>
      <c r="G92" s="80"/>
      <c r="H92" s="80"/>
      <c r="I92" s="80"/>
      <c r="J92" s="80"/>
      <c r="K92" s="80"/>
      <c r="L92" s="80"/>
      <c r="M92" s="80"/>
      <c r="N92" s="80"/>
      <c r="O92" s="80"/>
      <c r="P92" s="80"/>
      <c r="Q92" s="80"/>
      <c r="R92" s="80"/>
      <c r="S92" s="80"/>
      <c r="T92" s="80"/>
      <c r="U92" s="166"/>
      <c r="V92" s="166"/>
      <c r="W92" s="124"/>
      <c r="X92" s="124"/>
      <c r="Y92" s="124"/>
      <c r="Z92" s="129"/>
      <c r="AA92" s="80"/>
      <c r="AB92" s="80"/>
      <c r="AC92" s="80"/>
      <c r="AD92" s="80"/>
      <c r="AE92" s="80"/>
    </row>
    <row r="93" spans="1:31" s="112" customFormat="1" ht="15.75" customHeight="1" x14ac:dyDescent="0.25">
      <c r="A93" s="166" t="s">
        <v>836</v>
      </c>
      <c r="B93" s="166"/>
      <c r="C93" s="762">
        <v>0.45</v>
      </c>
      <c r="D93" s="744">
        <v>0.3</v>
      </c>
      <c r="E93" s="179">
        <v>25</v>
      </c>
      <c r="F93" s="129"/>
      <c r="G93" s="80"/>
      <c r="H93" s="80"/>
      <c r="I93" s="80"/>
      <c r="J93" s="80"/>
      <c r="K93" s="80"/>
      <c r="L93" s="80"/>
      <c r="M93" s="80"/>
      <c r="N93" s="80"/>
      <c r="O93" s="80"/>
      <c r="P93" s="80"/>
      <c r="Q93" s="80"/>
      <c r="R93" s="80"/>
      <c r="S93" s="80"/>
      <c r="T93" s="80"/>
      <c r="U93" s="149"/>
      <c r="V93" s="149"/>
      <c r="W93" s="124"/>
      <c r="X93" s="124"/>
      <c r="Y93" s="124"/>
      <c r="Z93" s="129"/>
      <c r="AA93" s="80"/>
      <c r="AB93" s="80"/>
      <c r="AC93" s="80"/>
      <c r="AD93" s="80"/>
      <c r="AE93" s="80"/>
    </row>
    <row r="94" spans="1:31" s="112" customFormat="1" ht="15.75" customHeight="1" x14ac:dyDescent="0.25">
      <c r="A94" s="15" t="s">
        <v>837</v>
      </c>
      <c r="B94" s="15"/>
      <c r="C94" s="762">
        <v>0</v>
      </c>
      <c r="D94" s="744">
        <v>0</v>
      </c>
      <c r="E94" s="179" t="s">
        <v>1129</v>
      </c>
      <c r="F94" s="129"/>
      <c r="G94" s="80"/>
      <c r="H94" s="80"/>
      <c r="I94" s="80"/>
      <c r="J94" s="80"/>
      <c r="K94" s="80"/>
      <c r="L94" s="80"/>
      <c r="M94" s="80"/>
      <c r="N94" s="80"/>
      <c r="O94" s="80"/>
      <c r="P94" s="80"/>
      <c r="Q94" s="80"/>
      <c r="R94" s="80"/>
      <c r="S94" s="80"/>
      <c r="T94" s="80"/>
      <c r="U94" s="149"/>
      <c r="V94" s="149"/>
      <c r="W94" s="124"/>
      <c r="X94" s="124"/>
      <c r="Y94" s="124"/>
      <c r="Z94" s="129"/>
      <c r="AA94" s="80"/>
      <c r="AB94" s="80"/>
      <c r="AC94" s="80"/>
      <c r="AD94" s="80"/>
      <c r="AE94" s="80"/>
    </row>
    <row r="95" spans="1:31" s="112" customFormat="1" ht="15.75" customHeight="1" x14ac:dyDescent="0.25">
      <c r="A95" s="15" t="s">
        <v>838</v>
      </c>
      <c r="B95" s="15"/>
      <c r="C95" s="762">
        <v>0</v>
      </c>
      <c r="D95" s="762">
        <v>0</v>
      </c>
      <c r="E95" s="162" t="s">
        <v>1129</v>
      </c>
      <c r="F95" s="240"/>
      <c r="G95" s="80"/>
      <c r="H95" s="80"/>
      <c r="I95" s="80"/>
      <c r="J95" s="80"/>
      <c r="K95" s="80"/>
      <c r="L95" s="80"/>
      <c r="M95" s="80"/>
      <c r="N95" s="80"/>
      <c r="O95" s="80"/>
      <c r="P95" s="80"/>
      <c r="Q95" s="80"/>
      <c r="R95" s="80"/>
      <c r="S95" s="80"/>
      <c r="T95" s="80"/>
      <c r="U95" s="149"/>
      <c r="V95" s="149"/>
      <c r="W95" s="124"/>
      <c r="X95" s="124"/>
      <c r="Y95" s="123"/>
      <c r="Z95" s="129"/>
      <c r="AA95" s="80"/>
      <c r="AB95" s="80"/>
      <c r="AC95" s="80"/>
      <c r="AD95" s="80"/>
      <c r="AE95" s="80"/>
    </row>
    <row r="96" spans="1:31" s="112" customFormat="1" ht="15.75" customHeight="1" x14ac:dyDescent="0.25">
      <c r="A96" s="15" t="s">
        <v>839</v>
      </c>
      <c r="B96" s="15"/>
      <c r="C96" s="762">
        <v>0</v>
      </c>
      <c r="D96" s="744">
        <v>0</v>
      </c>
      <c r="E96" s="179" t="s">
        <v>1129</v>
      </c>
      <c r="F96" s="129"/>
      <c r="G96" s="80"/>
      <c r="H96" s="80"/>
      <c r="I96" s="80"/>
      <c r="J96" s="80"/>
      <c r="K96" s="80"/>
      <c r="L96" s="80"/>
      <c r="M96" s="80"/>
      <c r="N96" s="80"/>
      <c r="O96" s="80"/>
      <c r="P96" s="80"/>
      <c r="Q96" s="80"/>
      <c r="R96" s="80"/>
      <c r="S96" s="80"/>
      <c r="T96" s="80"/>
      <c r="U96" s="149"/>
      <c r="V96" s="149"/>
      <c r="W96" s="124"/>
      <c r="X96" s="124"/>
      <c r="Y96" s="123"/>
      <c r="Z96" s="129"/>
      <c r="AA96" s="80"/>
      <c r="AB96" s="80"/>
      <c r="AC96" s="80"/>
      <c r="AD96" s="80"/>
      <c r="AE96" s="80"/>
    </row>
    <row r="97" spans="2:52" s="112" customFormat="1" ht="15.75" customHeight="1" x14ac:dyDescent="0.25">
      <c r="B97" s="80"/>
      <c r="C97" s="80"/>
      <c r="E97" s="80"/>
      <c r="F97" s="80"/>
      <c r="G97" s="80"/>
      <c r="H97" s="80"/>
      <c r="I97" s="80"/>
      <c r="J97" s="80"/>
      <c r="K97" s="80"/>
      <c r="L97" s="80"/>
      <c r="M97" s="80"/>
      <c r="N97" s="80"/>
      <c r="O97" s="80"/>
      <c r="P97" s="80"/>
      <c r="Q97" s="80"/>
      <c r="R97" s="80"/>
      <c r="S97" s="80"/>
      <c r="T97" s="80"/>
      <c r="U97" s="149"/>
      <c r="V97" s="149"/>
      <c r="W97" s="124"/>
      <c r="X97" s="124"/>
      <c r="Y97" s="123"/>
      <c r="Z97" s="129"/>
      <c r="AA97" s="80"/>
      <c r="AB97" s="80"/>
      <c r="AC97" s="80"/>
      <c r="AD97" s="80"/>
      <c r="AE97" s="80"/>
    </row>
    <row r="98" spans="2:52" s="112" customFormat="1" ht="15.75" customHeight="1" x14ac:dyDescent="0.25">
      <c r="B98" s="80"/>
      <c r="C98" s="80"/>
      <c r="E98" s="80"/>
      <c r="F98" s="80"/>
      <c r="G98" s="80"/>
      <c r="H98" s="80"/>
      <c r="I98" s="80"/>
      <c r="J98" s="80"/>
      <c r="K98" s="80"/>
      <c r="L98" s="80"/>
      <c r="M98" s="80"/>
      <c r="N98" s="80"/>
      <c r="O98" s="80"/>
      <c r="P98" s="80"/>
      <c r="Q98" s="80"/>
      <c r="R98" s="80"/>
      <c r="S98" s="80"/>
      <c r="T98" s="80"/>
      <c r="U98" s="166"/>
      <c r="V98" s="166"/>
      <c r="W98" s="124"/>
      <c r="X98" s="124"/>
      <c r="Y98" s="123"/>
      <c r="Z98" s="129"/>
      <c r="AA98" s="80"/>
      <c r="AB98" s="80"/>
      <c r="AC98" s="80"/>
      <c r="AD98" s="80"/>
      <c r="AE98" s="80"/>
    </row>
    <row r="99" spans="2:52" s="112" customFormat="1" ht="15.75" customHeight="1" x14ac:dyDescent="0.25">
      <c r="B99" s="80"/>
      <c r="C99" s="80"/>
      <c r="E99" s="80"/>
      <c r="F99" s="80"/>
      <c r="G99" s="80"/>
      <c r="H99" s="80"/>
      <c r="I99" s="80"/>
      <c r="J99" s="80"/>
      <c r="K99" s="80"/>
      <c r="L99" s="80"/>
      <c r="M99" s="80"/>
      <c r="N99" s="80"/>
      <c r="O99" s="80"/>
      <c r="P99" s="80"/>
      <c r="Q99" s="80"/>
      <c r="R99" s="80"/>
      <c r="S99" s="80"/>
      <c r="T99" s="80"/>
      <c r="U99" s="15"/>
      <c r="V99" s="15"/>
      <c r="W99" s="124"/>
      <c r="X99" s="124"/>
      <c r="Y99" s="123"/>
      <c r="Z99" s="129"/>
      <c r="AA99" s="80"/>
      <c r="AB99" s="80"/>
      <c r="AC99" s="80"/>
      <c r="AD99" s="80"/>
      <c r="AE99" s="80"/>
    </row>
    <row r="100" spans="2:52" ht="15.75" x14ac:dyDescent="0.25">
      <c r="C100" s="120" t="s">
        <v>183</v>
      </c>
      <c r="D100" s="121" t="s">
        <v>813</v>
      </c>
      <c r="U100" s="15"/>
      <c r="V100" s="15"/>
      <c r="W100" s="124"/>
      <c r="X100" s="124"/>
      <c r="Y100" s="124"/>
      <c r="Z100" s="240"/>
    </row>
    <row r="101" spans="2:52" ht="15.75" x14ac:dyDescent="0.25">
      <c r="C101" s="120" t="s">
        <v>179</v>
      </c>
      <c r="D101" s="60">
        <v>90</v>
      </c>
      <c r="U101" s="15"/>
      <c r="V101" s="15"/>
      <c r="W101" s="124"/>
      <c r="X101" s="124"/>
      <c r="Y101" s="123"/>
      <c r="Z101" s="129"/>
    </row>
    <row r="102" spans="2:52" ht="15.75" x14ac:dyDescent="0.25">
      <c r="C102" s="120" t="s">
        <v>814</v>
      </c>
      <c r="D102" s="60">
        <v>70</v>
      </c>
      <c r="V102" s="166"/>
      <c r="W102" s="166"/>
      <c r="AZ102" s="520"/>
    </row>
    <row r="103" spans="2:52" ht="15.75" x14ac:dyDescent="0.25">
      <c r="C103" s="120" t="s">
        <v>815</v>
      </c>
      <c r="D103" s="60">
        <v>70</v>
      </c>
      <c r="V103" s="166"/>
      <c r="W103" s="166"/>
      <c r="AZ103" s="520"/>
    </row>
    <row r="104" spans="2:52" ht="15.75" x14ac:dyDescent="0.25">
      <c r="C104" s="120" t="s">
        <v>819</v>
      </c>
      <c r="D104" s="519">
        <v>70</v>
      </c>
    </row>
    <row r="105" spans="2:52" ht="15.75" x14ac:dyDescent="0.25">
      <c r="C105" s="120" t="s">
        <v>820</v>
      </c>
      <c r="D105" s="519">
        <v>60</v>
      </c>
      <c r="Z105" s="120"/>
      <c r="AA105" s="120"/>
      <c r="AB105" s="120"/>
      <c r="AC105" s="120"/>
      <c r="AD105" s="120"/>
      <c r="AE105" s="120"/>
      <c r="AF105" s="120"/>
      <c r="AG105" s="120"/>
      <c r="AH105" s="120"/>
      <c r="AI105" s="120"/>
      <c r="AJ105" s="120"/>
      <c r="AK105" s="120"/>
      <c r="AL105" s="120"/>
      <c r="AM105" s="120"/>
      <c r="AN105" s="120"/>
      <c r="AO105" s="120"/>
      <c r="AP105" s="120"/>
      <c r="AQ105" s="120"/>
      <c r="AR105" s="120"/>
      <c r="AS105" s="120"/>
      <c r="AT105" s="120"/>
      <c r="AU105" s="120"/>
      <c r="AV105" s="120"/>
      <c r="AW105" s="120"/>
      <c r="AX105" s="120"/>
      <c r="AY105" s="120"/>
      <c r="AZ105" s="121"/>
    </row>
    <row r="106" spans="2:52" ht="15.75" x14ac:dyDescent="0.25">
      <c r="C106" s="120" t="s">
        <v>48</v>
      </c>
      <c r="D106" s="519">
        <v>60</v>
      </c>
      <c r="Z106" s="120"/>
      <c r="AA106" s="120"/>
      <c r="AB106" s="120"/>
      <c r="AC106" s="120"/>
      <c r="AD106" s="120"/>
      <c r="AE106" s="120"/>
      <c r="AF106" s="120"/>
      <c r="AG106" s="120"/>
      <c r="AH106" s="120"/>
      <c r="AI106" s="120"/>
      <c r="AJ106" s="120"/>
      <c r="AK106" s="120"/>
      <c r="AL106" s="120"/>
      <c r="AM106" s="120"/>
      <c r="AN106" s="120"/>
      <c r="AO106" s="120"/>
      <c r="AP106" s="120"/>
      <c r="AQ106" s="120"/>
      <c r="AR106" s="120"/>
      <c r="AS106" s="120"/>
      <c r="AT106" s="120"/>
      <c r="AU106" s="120"/>
      <c r="AV106" s="120"/>
      <c r="AW106" s="120"/>
      <c r="AX106" s="120"/>
      <c r="AY106" s="120"/>
      <c r="AZ106" s="60"/>
    </row>
    <row r="107" spans="2:52" ht="15.75" x14ac:dyDescent="0.25">
      <c r="C107" s="120" t="s">
        <v>821</v>
      </c>
      <c r="D107" s="60">
        <v>45</v>
      </c>
      <c r="Z107" s="120"/>
      <c r="AA107" s="120"/>
      <c r="AB107" s="120"/>
      <c r="AC107" s="120"/>
      <c r="AD107" s="120"/>
      <c r="AE107" s="120"/>
      <c r="AF107" s="120"/>
      <c r="AG107" s="120"/>
      <c r="AH107" s="120"/>
      <c r="AI107" s="120"/>
      <c r="AJ107" s="120"/>
      <c r="AK107" s="120"/>
      <c r="AL107" s="120"/>
      <c r="AM107" s="120"/>
      <c r="AN107" s="120"/>
      <c r="AO107" s="120"/>
      <c r="AP107" s="120"/>
      <c r="AQ107" s="120"/>
      <c r="AR107" s="120"/>
      <c r="AS107" s="120"/>
      <c r="AT107" s="120"/>
      <c r="AU107" s="120"/>
      <c r="AV107" s="120"/>
      <c r="AW107" s="120"/>
      <c r="AX107" s="120"/>
      <c r="AY107" s="120"/>
      <c r="AZ107" s="60"/>
    </row>
    <row r="108" spans="2:52" ht="15.75" x14ac:dyDescent="0.25">
      <c r="C108" s="120" t="s">
        <v>816</v>
      </c>
      <c r="D108" s="519">
        <v>30</v>
      </c>
      <c r="Z108" s="120"/>
      <c r="AA108" s="120"/>
      <c r="AB108" s="120"/>
      <c r="AC108" s="120"/>
      <c r="AD108" s="120"/>
      <c r="AE108" s="120"/>
      <c r="AF108" s="120"/>
      <c r="AG108" s="120"/>
      <c r="AH108" s="120"/>
      <c r="AI108" s="120"/>
      <c r="AJ108" s="120"/>
      <c r="AK108" s="120"/>
      <c r="AL108" s="120"/>
      <c r="AM108" s="120"/>
      <c r="AN108" s="120"/>
      <c r="AO108" s="120"/>
      <c r="AP108" s="120"/>
      <c r="AQ108" s="120"/>
      <c r="AR108" s="120"/>
      <c r="AS108" s="120"/>
      <c r="AT108" s="120"/>
      <c r="AU108" s="120"/>
      <c r="AV108" s="120"/>
      <c r="AW108" s="120"/>
      <c r="AX108" s="120"/>
      <c r="AY108" s="120"/>
      <c r="AZ108" s="60"/>
    </row>
    <row r="109" spans="2:52" ht="15.75" x14ac:dyDescent="0.25">
      <c r="C109" s="120" t="s">
        <v>822</v>
      </c>
      <c r="D109" s="519">
        <v>30</v>
      </c>
      <c r="Z109" s="120"/>
      <c r="AA109" s="120"/>
      <c r="AB109" s="120"/>
      <c r="AC109" s="120"/>
      <c r="AD109" s="120"/>
      <c r="AE109" s="120"/>
      <c r="AF109" s="120"/>
      <c r="AG109" s="120"/>
      <c r="AH109" s="120"/>
      <c r="AI109" s="120"/>
      <c r="AJ109" s="120"/>
      <c r="AK109" s="120"/>
      <c r="AL109" s="120"/>
      <c r="AM109" s="120"/>
      <c r="AN109" s="120"/>
      <c r="AO109" s="120"/>
      <c r="AP109" s="120"/>
      <c r="AQ109" s="120"/>
      <c r="AR109" s="120"/>
      <c r="AS109" s="120"/>
      <c r="AT109" s="120"/>
      <c r="AU109" s="120"/>
      <c r="AV109" s="120"/>
      <c r="AW109" s="120"/>
      <c r="AX109" s="120"/>
      <c r="AY109" s="120"/>
      <c r="AZ109" s="519"/>
    </row>
    <row r="110" spans="2:52" ht="15.75" x14ac:dyDescent="0.25">
      <c r="C110" s="120" t="s">
        <v>187</v>
      </c>
      <c r="D110" s="519">
        <v>30</v>
      </c>
      <c r="V110" s="166"/>
      <c r="W110" s="166"/>
      <c r="Y110" s="124"/>
      <c r="Z110" s="120"/>
      <c r="AA110" s="120"/>
      <c r="AB110" s="120"/>
      <c r="AC110" s="120"/>
      <c r="AD110" s="120"/>
      <c r="AE110" s="120"/>
      <c r="AF110" s="120"/>
      <c r="AG110" s="120"/>
      <c r="AH110" s="120"/>
      <c r="AI110" s="120"/>
      <c r="AJ110" s="120"/>
      <c r="AK110" s="120"/>
      <c r="AL110" s="120"/>
      <c r="AM110" s="120"/>
      <c r="AN110" s="120"/>
      <c r="AO110" s="120"/>
      <c r="AP110" s="120"/>
      <c r="AQ110" s="120"/>
      <c r="AR110" s="120"/>
      <c r="AS110" s="120"/>
      <c r="AT110" s="120"/>
      <c r="AU110" s="120"/>
      <c r="AV110" s="120"/>
      <c r="AW110" s="120"/>
      <c r="AX110" s="120"/>
      <c r="AY110" s="120"/>
      <c r="AZ110" s="519"/>
    </row>
    <row r="111" spans="2:52" ht="15.75" x14ac:dyDescent="0.25">
      <c r="C111" s="120" t="s">
        <v>823</v>
      </c>
      <c r="D111" s="519">
        <v>30</v>
      </c>
      <c r="V111" s="166"/>
      <c r="W111" s="166"/>
      <c r="Y111" s="124"/>
      <c r="Z111" s="120"/>
      <c r="AA111" s="120"/>
      <c r="AB111" s="120"/>
      <c r="AC111" s="120"/>
      <c r="AD111" s="120"/>
      <c r="AE111" s="120"/>
      <c r="AF111" s="120"/>
      <c r="AG111" s="120"/>
      <c r="AH111" s="120"/>
      <c r="AI111" s="120"/>
      <c r="AJ111" s="120"/>
      <c r="AK111" s="120"/>
      <c r="AL111" s="120"/>
      <c r="AM111" s="120"/>
      <c r="AN111" s="120"/>
      <c r="AO111" s="120"/>
      <c r="AP111" s="120"/>
      <c r="AQ111" s="120"/>
      <c r="AR111" s="120"/>
      <c r="AS111" s="120"/>
      <c r="AT111" s="120"/>
      <c r="AU111" s="120"/>
      <c r="AV111" s="120"/>
      <c r="AW111" s="120"/>
      <c r="AX111" s="120"/>
      <c r="AY111" s="120"/>
      <c r="AZ111" s="519"/>
    </row>
    <row r="112" spans="2:52" ht="15.75" x14ac:dyDescent="0.25">
      <c r="C112" s="120" t="s">
        <v>824</v>
      </c>
      <c r="D112" s="519">
        <v>30</v>
      </c>
      <c r="Z112" s="120"/>
      <c r="AA112" s="120"/>
      <c r="AB112" s="120"/>
      <c r="AC112" s="120"/>
      <c r="AD112" s="120"/>
      <c r="AE112" s="120"/>
      <c r="AF112" s="120"/>
      <c r="AG112" s="120"/>
      <c r="AH112" s="120"/>
      <c r="AI112" s="120"/>
      <c r="AJ112" s="120"/>
      <c r="AK112" s="120"/>
      <c r="AL112" s="120"/>
      <c r="AM112" s="120"/>
      <c r="AN112" s="120"/>
      <c r="AO112" s="120"/>
      <c r="AP112" s="120"/>
      <c r="AQ112" s="120"/>
      <c r="AR112" s="120"/>
      <c r="AS112" s="120"/>
      <c r="AT112" s="120"/>
      <c r="AU112" s="120"/>
      <c r="AV112" s="120"/>
      <c r="AW112" s="120"/>
      <c r="AX112" s="120"/>
      <c r="AY112" s="120"/>
      <c r="AZ112" s="60"/>
    </row>
    <row r="113" spans="3:52" ht="15.75" x14ac:dyDescent="0.25">
      <c r="C113" s="120" t="s">
        <v>825</v>
      </c>
      <c r="D113" s="519">
        <v>30</v>
      </c>
      <c r="Z113" s="120"/>
      <c r="AA113" s="120"/>
      <c r="AB113" s="120"/>
      <c r="AC113" s="120"/>
      <c r="AD113" s="120"/>
      <c r="AE113" s="120"/>
      <c r="AF113" s="120"/>
      <c r="AG113" s="120"/>
      <c r="AH113" s="120"/>
      <c r="AI113" s="120"/>
      <c r="AJ113" s="120"/>
      <c r="AK113" s="120"/>
      <c r="AL113" s="120"/>
      <c r="AM113" s="120"/>
      <c r="AN113" s="120"/>
      <c r="AO113" s="120"/>
      <c r="AP113" s="120"/>
      <c r="AQ113" s="120"/>
      <c r="AR113" s="120"/>
      <c r="AS113" s="120"/>
      <c r="AT113" s="120"/>
      <c r="AU113" s="120"/>
      <c r="AV113" s="120"/>
      <c r="AW113" s="120"/>
      <c r="AX113" s="120"/>
      <c r="AY113" s="120"/>
      <c r="AZ113" s="519"/>
    </row>
    <row r="114" spans="3:52" ht="15.75" x14ac:dyDescent="0.25">
      <c r="C114" s="120" t="s">
        <v>180</v>
      </c>
      <c r="D114" s="519">
        <v>25</v>
      </c>
      <c r="Z114" s="120"/>
      <c r="AA114" s="120"/>
      <c r="AB114" s="120"/>
      <c r="AC114" s="120"/>
      <c r="AD114" s="120"/>
      <c r="AE114" s="120"/>
      <c r="AF114" s="120"/>
      <c r="AG114" s="120"/>
      <c r="AH114" s="120"/>
      <c r="AI114" s="120"/>
      <c r="AJ114" s="120"/>
      <c r="AK114" s="120"/>
      <c r="AL114" s="120"/>
      <c r="AM114" s="120"/>
      <c r="AN114" s="120"/>
      <c r="AO114" s="120"/>
      <c r="AP114" s="120"/>
      <c r="AQ114" s="120"/>
      <c r="AR114" s="120"/>
      <c r="AS114" s="120"/>
      <c r="AT114" s="120"/>
      <c r="AU114" s="120"/>
      <c r="AV114" s="120"/>
      <c r="AW114" s="120"/>
      <c r="AX114" s="120"/>
      <c r="AY114" s="120"/>
      <c r="AZ114" s="519"/>
    </row>
    <row r="115" spans="3:52" ht="15.75" x14ac:dyDescent="0.25">
      <c r="C115" s="120" t="s">
        <v>817</v>
      </c>
      <c r="D115" s="519">
        <v>25</v>
      </c>
      <c r="Z115" s="120"/>
      <c r="AA115" s="120"/>
      <c r="AB115" s="120"/>
      <c r="AC115" s="120"/>
      <c r="AD115" s="120"/>
      <c r="AE115" s="120"/>
      <c r="AF115" s="120"/>
      <c r="AG115" s="120"/>
      <c r="AH115" s="120"/>
      <c r="AI115" s="120"/>
      <c r="AJ115" s="120"/>
      <c r="AK115" s="120"/>
      <c r="AL115" s="120"/>
      <c r="AM115" s="120"/>
      <c r="AN115" s="120"/>
      <c r="AO115" s="120"/>
      <c r="AP115" s="120"/>
      <c r="AQ115" s="120"/>
      <c r="AR115" s="120"/>
      <c r="AS115" s="120"/>
      <c r="AT115" s="120"/>
      <c r="AU115" s="120"/>
      <c r="AV115" s="120"/>
      <c r="AW115" s="120"/>
      <c r="AX115" s="120"/>
      <c r="AY115" s="120"/>
      <c r="AZ115" s="519"/>
    </row>
    <row r="116" spans="3:52" ht="15.75" x14ac:dyDescent="0.25">
      <c r="C116" s="120" t="s">
        <v>818</v>
      </c>
      <c r="D116" s="519">
        <v>25</v>
      </c>
      <c r="Z116" s="120"/>
      <c r="AA116" s="120"/>
      <c r="AB116" s="120"/>
      <c r="AC116" s="120"/>
      <c r="AD116" s="120"/>
      <c r="AE116" s="120"/>
      <c r="AF116" s="120"/>
      <c r="AG116" s="120"/>
      <c r="AH116" s="120"/>
      <c r="AI116" s="120"/>
      <c r="AJ116" s="120"/>
      <c r="AK116" s="120"/>
      <c r="AL116" s="120"/>
      <c r="AM116" s="120"/>
      <c r="AN116" s="120"/>
      <c r="AO116" s="120"/>
      <c r="AP116" s="120"/>
      <c r="AQ116" s="120"/>
      <c r="AR116" s="120"/>
      <c r="AS116" s="120"/>
      <c r="AT116" s="120"/>
      <c r="AU116" s="120"/>
      <c r="AV116" s="120"/>
      <c r="AW116" s="120"/>
      <c r="AX116" s="120"/>
      <c r="AY116" s="120"/>
      <c r="AZ116" s="519"/>
    </row>
    <row r="117" spans="3:52" ht="15.75" x14ac:dyDescent="0.25">
      <c r="C117" s="120" t="s">
        <v>826</v>
      </c>
      <c r="D117" s="519">
        <v>10</v>
      </c>
      <c r="Z117" s="120"/>
      <c r="AA117" s="120"/>
      <c r="AB117" s="120"/>
      <c r="AC117" s="120"/>
      <c r="AD117" s="120"/>
      <c r="AE117" s="120"/>
      <c r="AF117" s="120"/>
      <c r="AG117" s="120"/>
      <c r="AH117" s="120"/>
      <c r="AI117" s="120"/>
      <c r="AJ117" s="120"/>
      <c r="AK117" s="120"/>
      <c r="AL117" s="120"/>
      <c r="AM117" s="120"/>
      <c r="AN117" s="120"/>
      <c r="AO117" s="120"/>
      <c r="AP117" s="120"/>
      <c r="AQ117" s="120"/>
      <c r="AR117" s="120"/>
      <c r="AS117" s="120"/>
      <c r="AT117" s="120"/>
      <c r="AU117" s="120"/>
      <c r="AV117" s="120"/>
      <c r="AW117" s="120"/>
      <c r="AX117" s="120"/>
      <c r="AY117" s="120"/>
      <c r="AZ117" s="519"/>
    </row>
    <row r="118" spans="3:52" ht="15.75" x14ac:dyDescent="0.25">
      <c r="C118" s="120" t="s">
        <v>181</v>
      </c>
      <c r="D118" s="519">
        <v>10</v>
      </c>
      <c r="Z118" s="120"/>
      <c r="AA118" s="120"/>
      <c r="AB118" s="120"/>
      <c r="AC118" s="120"/>
      <c r="AD118" s="120"/>
      <c r="AE118" s="120"/>
      <c r="AF118" s="120"/>
      <c r="AG118" s="120"/>
      <c r="AH118" s="120"/>
      <c r="AI118" s="120"/>
      <c r="AJ118" s="120"/>
      <c r="AK118" s="120"/>
      <c r="AL118" s="120"/>
      <c r="AM118" s="120"/>
      <c r="AN118" s="120"/>
      <c r="AO118" s="120"/>
      <c r="AP118" s="120"/>
      <c r="AQ118" s="120"/>
      <c r="AR118" s="120"/>
      <c r="AS118" s="120"/>
      <c r="AT118" s="120"/>
      <c r="AU118" s="120"/>
      <c r="AV118" s="120"/>
      <c r="AW118" s="120"/>
      <c r="AX118" s="120"/>
      <c r="AY118" s="120"/>
      <c r="AZ118" s="519"/>
    </row>
    <row r="119" spans="3:52" ht="15.75" x14ac:dyDescent="0.25">
      <c r="C119" s="120" t="s">
        <v>188</v>
      </c>
      <c r="D119" s="519">
        <v>5</v>
      </c>
      <c r="Z119" s="120"/>
      <c r="AA119" s="120"/>
      <c r="AB119" s="120"/>
      <c r="AC119" s="120"/>
      <c r="AD119" s="120"/>
      <c r="AE119" s="120"/>
      <c r="AF119" s="120"/>
      <c r="AG119" s="120"/>
      <c r="AH119" s="120"/>
      <c r="AI119" s="120"/>
      <c r="AJ119" s="120"/>
      <c r="AK119" s="120"/>
      <c r="AL119" s="120"/>
      <c r="AM119" s="120"/>
      <c r="AN119" s="120"/>
      <c r="AO119" s="120"/>
      <c r="AP119" s="120"/>
      <c r="AQ119" s="120"/>
      <c r="AR119" s="120"/>
      <c r="AS119" s="120"/>
      <c r="AT119" s="120"/>
      <c r="AU119" s="120"/>
      <c r="AV119" s="120"/>
      <c r="AW119" s="120"/>
      <c r="AX119" s="120"/>
      <c r="AY119" s="120"/>
      <c r="AZ119" s="519"/>
    </row>
    <row r="120" spans="3:52" ht="15.75" x14ac:dyDescent="0.25">
      <c r="C120" s="120" t="s">
        <v>182</v>
      </c>
      <c r="D120" s="519">
        <v>3</v>
      </c>
      <c r="Z120" s="120"/>
      <c r="AA120" s="120"/>
      <c r="AB120" s="120"/>
      <c r="AC120" s="120"/>
      <c r="AD120" s="120"/>
      <c r="AE120" s="120"/>
      <c r="AF120" s="120"/>
      <c r="AG120" s="120"/>
      <c r="AH120" s="120"/>
      <c r="AI120" s="120"/>
      <c r="AJ120" s="120"/>
      <c r="AK120" s="120"/>
      <c r="AL120" s="120"/>
      <c r="AM120" s="120"/>
      <c r="AN120" s="120"/>
      <c r="AO120" s="120"/>
      <c r="AP120" s="120"/>
      <c r="AQ120" s="120"/>
      <c r="AR120" s="120"/>
      <c r="AS120" s="120"/>
      <c r="AT120" s="120"/>
      <c r="AU120" s="120"/>
      <c r="AV120" s="120"/>
      <c r="AW120" s="120"/>
      <c r="AX120" s="120"/>
      <c r="AY120" s="120"/>
      <c r="AZ120" s="519"/>
    </row>
    <row r="121" spans="3:52" ht="15.75" x14ac:dyDescent="0.25">
      <c r="Z121" s="120"/>
      <c r="AA121" s="120"/>
      <c r="AB121" s="120"/>
      <c r="AC121" s="120"/>
      <c r="AD121" s="120"/>
      <c r="AE121" s="120"/>
      <c r="AF121" s="120"/>
      <c r="AG121" s="120"/>
      <c r="AH121" s="120"/>
      <c r="AI121" s="120"/>
      <c r="AJ121" s="120"/>
      <c r="AK121" s="120"/>
      <c r="AL121" s="120"/>
      <c r="AM121" s="120"/>
      <c r="AN121" s="120"/>
      <c r="AO121" s="120"/>
      <c r="AP121" s="120"/>
      <c r="AQ121" s="120"/>
      <c r="AR121" s="120"/>
      <c r="AS121" s="120"/>
      <c r="AT121" s="120"/>
      <c r="AU121" s="120"/>
      <c r="AV121" s="120"/>
      <c r="AW121" s="120"/>
      <c r="AX121" s="120"/>
      <c r="AY121" s="120"/>
      <c r="AZ121" s="519"/>
    </row>
    <row r="122" spans="3:52" ht="15.75" x14ac:dyDescent="0.25">
      <c r="Z122" s="120"/>
      <c r="AA122" s="120"/>
      <c r="AB122" s="120"/>
      <c r="AC122" s="120"/>
      <c r="AD122" s="120"/>
      <c r="AE122" s="120"/>
      <c r="AF122" s="120"/>
      <c r="AG122" s="120"/>
      <c r="AH122" s="120"/>
      <c r="AI122" s="120"/>
      <c r="AJ122" s="120"/>
      <c r="AK122" s="120"/>
      <c r="AL122" s="120"/>
      <c r="AM122" s="120"/>
      <c r="AN122" s="120"/>
      <c r="AO122" s="120"/>
      <c r="AP122" s="120"/>
      <c r="AQ122" s="120"/>
      <c r="AR122" s="120"/>
      <c r="AS122" s="120"/>
      <c r="AT122" s="120"/>
      <c r="AU122" s="120"/>
      <c r="AV122" s="120"/>
      <c r="AW122" s="120"/>
      <c r="AX122" s="120"/>
      <c r="AY122" s="120"/>
      <c r="AZ122" s="519"/>
    </row>
    <row r="123" spans="3:52" ht="15.75" x14ac:dyDescent="0.25">
      <c r="Z123" s="120"/>
      <c r="AA123" s="120"/>
      <c r="AB123" s="120"/>
      <c r="AC123" s="120"/>
      <c r="AD123" s="120"/>
      <c r="AE123" s="120"/>
      <c r="AF123" s="120"/>
      <c r="AG123" s="120"/>
      <c r="AH123" s="120"/>
      <c r="AI123" s="120"/>
      <c r="AJ123" s="120"/>
      <c r="AK123" s="120"/>
      <c r="AL123" s="120"/>
      <c r="AM123" s="120"/>
      <c r="AN123" s="120"/>
      <c r="AO123" s="120"/>
      <c r="AP123" s="120"/>
      <c r="AQ123" s="120"/>
      <c r="AR123" s="120"/>
      <c r="AS123" s="120"/>
      <c r="AT123" s="120"/>
      <c r="AU123" s="120"/>
      <c r="AV123" s="120"/>
      <c r="AW123" s="120"/>
      <c r="AX123" s="120"/>
      <c r="AY123" s="120"/>
      <c r="AZ123" s="519"/>
    </row>
    <row r="124" spans="3:52" ht="15.75" x14ac:dyDescent="0.25">
      <c r="Z124" s="120"/>
      <c r="AA124" s="120"/>
      <c r="AB124" s="120"/>
      <c r="AC124" s="120"/>
      <c r="AD124" s="120"/>
      <c r="AE124" s="120"/>
      <c r="AF124" s="120"/>
      <c r="AG124" s="120"/>
      <c r="AH124" s="120"/>
      <c r="AI124" s="120"/>
      <c r="AJ124" s="120"/>
      <c r="AK124" s="120"/>
      <c r="AL124" s="120"/>
      <c r="AM124" s="120"/>
      <c r="AN124" s="120"/>
      <c r="AO124" s="120"/>
      <c r="AP124" s="120"/>
      <c r="AQ124" s="120"/>
      <c r="AR124" s="120"/>
      <c r="AS124" s="120"/>
      <c r="AT124" s="120"/>
      <c r="AU124" s="120"/>
      <c r="AV124" s="120"/>
      <c r="AW124" s="120"/>
      <c r="AX124" s="120"/>
      <c r="AY124" s="120"/>
      <c r="AZ124" s="519"/>
    </row>
    <row r="125" spans="3:52" ht="15.75" x14ac:dyDescent="0.25">
      <c r="Z125" s="120"/>
      <c r="AA125" s="120"/>
      <c r="AB125" s="120"/>
      <c r="AC125" s="120"/>
      <c r="AD125" s="120"/>
      <c r="AE125" s="120"/>
      <c r="AF125" s="120"/>
      <c r="AG125" s="120"/>
      <c r="AH125" s="120"/>
      <c r="AI125" s="120"/>
      <c r="AJ125" s="120"/>
      <c r="AK125" s="120"/>
      <c r="AL125" s="120"/>
      <c r="AM125" s="120"/>
      <c r="AN125" s="120"/>
      <c r="AO125" s="120"/>
      <c r="AP125" s="120"/>
      <c r="AQ125" s="120"/>
      <c r="AR125" s="120"/>
      <c r="AS125" s="120"/>
      <c r="AT125" s="120"/>
      <c r="AU125" s="120"/>
      <c r="AV125" s="120"/>
      <c r="AW125" s="120"/>
      <c r="AX125" s="120"/>
      <c r="AY125" s="120"/>
      <c r="AZ125" s="519"/>
    </row>
  </sheetData>
  <sheetProtection sheet="1" formatCells="0" formatColumns="0" formatRows="0" selectLockedCells="1"/>
  <mergeCells count="39">
    <mergeCell ref="L8:L9"/>
    <mergeCell ref="C8:C9"/>
    <mergeCell ref="G8:G9"/>
    <mergeCell ref="A35:D35"/>
    <mergeCell ref="C10:C31"/>
    <mergeCell ref="D8:D9"/>
    <mergeCell ref="E8:E9"/>
    <mergeCell ref="A36:D36"/>
    <mergeCell ref="D59:E59"/>
    <mergeCell ref="E60:F60"/>
    <mergeCell ref="C46:J46"/>
    <mergeCell ref="A48:B48"/>
    <mergeCell ref="C48:J48"/>
    <mergeCell ref="C49:J49"/>
    <mergeCell ref="A46:B46"/>
    <mergeCell ref="O33:O34"/>
    <mergeCell ref="Q33:Q34"/>
    <mergeCell ref="A4:Q4"/>
    <mergeCell ref="A5:Q5"/>
    <mergeCell ref="A6:Q6"/>
    <mergeCell ref="A7:Q7"/>
    <mergeCell ref="H8:H9"/>
    <mergeCell ref="I8:I9"/>
    <mergeCell ref="J8:J9"/>
    <mergeCell ref="P8:Q8"/>
    <mergeCell ref="N8:O8"/>
    <mergeCell ref="M8:M9"/>
    <mergeCell ref="A8:A9"/>
    <mergeCell ref="B8:B9"/>
    <mergeCell ref="F8:F9"/>
    <mergeCell ref="K8:K9"/>
    <mergeCell ref="S5:AN6"/>
    <mergeCell ref="AP7:AT8"/>
    <mergeCell ref="AV7:AZ8"/>
    <mergeCell ref="AI8:AN8"/>
    <mergeCell ref="S8:S9"/>
    <mergeCell ref="U8:Z8"/>
    <mergeCell ref="AB8:AG8"/>
    <mergeCell ref="AP2:AZ6"/>
  </mergeCells>
  <phoneticPr fontId="92" type="noConversion"/>
  <dataValidations count="5">
    <dataValidation type="list" allowBlank="1" showInputMessage="1" showErrorMessage="1" sqref="H10:H31" xr:uid="{00000000-0002-0000-0900-000000000000}">
      <formula1>BG$11:BG$13</formula1>
    </dataValidation>
    <dataValidation type="list" allowBlank="1" sqref="K10:K31" xr:uid="{00000000-0002-0000-0900-000001000000}">
      <formula1>"jede,jede zweite"</formula1>
    </dataValidation>
    <dataValidation type="list" allowBlank="1" sqref="D10:D31" xr:uid="{00000000-0002-0000-0900-000002000000}">
      <formula1>"bis 14 t/ha,über 14 t/ha"</formula1>
    </dataValidation>
    <dataValidation type="list" allowBlank="1" sqref="J10:J31" xr:uid="{00000000-0002-0000-0900-000003000000}">
      <formula1>BJ$11:BJ$22</formula1>
    </dataValidation>
    <dataValidation type="list" allowBlank="1" sqref="F10:F31" xr:uid="{00000000-0002-0000-0900-000004000000}">
      <formula1>(BD$11:BD$20)</formula1>
    </dataValidation>
  </dataValidations>
  <pageMargins left="0.78740157480314965" right="0.23622047244094491" top="0.74803149606299213" bottom="0.74803149606299213" header="0.31496062992125984" footer="0.31496062992125984"/>
  <pageSetup paperSize="9" scale="49" fitToHeight="0" orientation="landscape" horizontalDpi="4294967293" verticalDpi="4294967293" r:id="rId1"/>
  <colBreaks count="1" manualBreakCount="1">
    <brk id="17" max="31"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5000000}">
          <x14:formula1>
            <xm:f>Düngemittel!$B$6:$B$64</xm:f>
          </x14:formula1>
          <xm:sqref>AJ10:AJ31 AC10:AC31 V10:V31</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BK125"/>
  <sheetViews>
    <sheetView zoomScale="80" zoomScaleNormal="80" zoomScaleSheetLayoutView="55" workbookViewId="0">
      <selection activeCell="A10" sqref="A10"/>
    </sheetView>
  </sheetViews>
  <sheetFormatPr baseColWidth="10" defaultRowHeight="15" x14ac:dyDescent="0.25"/>
  <cols>
    <col min="1" max="1" width="20.85546875" style="112" customWidth="1"/>
    <col min="2" max="2" width="7.85546875" style="80" customWidth="1"/>
    <col min="3" max="3" width="12" style="80" customWidth="1"/>
    <col min="4" max="4" width="13.5703125" style="112" customWidth="1"/>
    <col min="5" max="5" width="5.7109375" style="80" customWidth="1"/>
    <col min="6" max="6" width="32.7109375" style="80" customWidth="1"/>
    <col min="7" max="7" width="6" style="80" customWidth="1"/>
    <col min="8" max="8" width="17.140625" style="80" customWidth="1"/>
    <col min="9" max="9" width="5.140625" style="80" customWidth="1"/>
    <col min="10" max="10" width="58" style="80" customWidth="1"/>
    <col min="11" max="11" width="12" style="80" customWidth="1"/>
    <col min="12" max="12" width="5.85546875" style="80" customWidth="1"/>
    <col min="13" max="13" width="13.7109375" style="80" customWidth="1"/>
    <col min="14" max="14" width="8.42578125" style="80" customWidth="1"/>
    <col min="15" max="15" width="9.5703125" style="80" customWidth="1"/>
    <col min="16" max="16" width="8.42578125" style="80" customWidth="1"/>
    <col min="17" max="17" width="9.5703125" style="80" customWidth="1"/>
    <col min="18" max="18" width="4.140625" style="80" customWidth="1"/>
    <col min="19" max="19" width="19.7109375" style="80" customWidth="1"/>
    <col min="20" max="20" width="1.140625" style="80" customWidth="1"/>
    <col min="21" max="21" width="9.85546875" style="80" customWidth="1"/>
    <col min="22" max="22" width="13.140625" style="80" customWidth="1"/>
    <col min="23" max="23" width="6.28515625" style="80" customWidth="1"/>
    <col min="24" max="26" width="6.7109375" style="80" customWidth="1"/>
    <col min="27" max="27" width="1.140625" style="80" customWidth="1"/>
    <col min="28" max="28" width="9.42578125" style="80" customWidth="1"/>
    <col min="29" max="29" width="13.140625" style="80" customWidth="1"/>
    <col min="30" max="30" width="6.28515625" style="80" customWidth="1"/>
    <col min="31" max="33" width="6.5703125" style="80" customWidth="1"/>
    <col min="34" max="34" width="1.140625" style="80" customWidth="1"/>
    <col min="35" max="35" width="9.42578125" style="80" customWidth="1"/>
    <col min="36" max="36" width="13.28515625" style="80" customWidth="1"/>
    <col min="37" max="40" width="6.5703125" style="80" customWidth="1"/>
    <col min="41" max="41" width="1.5703125" style="80" customWidth="1"/>
    <col min="42" max="42" width="7" style="80" customWidth="1"/>
    <col min="43" max="44" width="5" style="80" customWidth="1"/>
    <col min="45" max="45" width="7.42578125" style="80" customWidth="1"/>
    <col min="46" max="46" width="5.7109375" style="80" customWidth="1"/>
    <col min="47" max="47" width="1.140625" style="80" customWidth="1"/>
    <col min="48" max="48" width="7" style="80" customWidth="1"/>
    <col min="49" max="49" width="6.140625" style="80" customWidth="1"/>
    <col min="50" max="50" width="6" style="80" customWidth="1"/>
    <col min="51" max="51" width="8" style="80" customWidth="1"/>
    <col min="52" max="52" width="6.85546875" style="80" customWidth="1"/>
    <col min="53" max="53" width="12.28515625" style="80" customWidth="1"/>
    <col min="54" max="54" width="11.42578125" style="80" customWidth="1"/>
    <col min="55" max="55" width="9.7109375" style="80" customWidth="1"/>
    <col min="56" max="56" width="32.28515625" style="80" customWidth="1"/>
    <col min="57" max="57" width="8" style="80" customWidth="1"/>
    <col min="58" max="58" width="4.7109375" style="80" customWidth="1"/>
    <col min="59" max="59" width="11.42578125" style="80"/>
    <col min="60" max="60" width="8.140625" style="80" customWidth="1"/>
    <col min="61" max="61" width="3.28515625" style="80" customWidth="1"/>
    <col min="62" max="62" width="73.42578125" style="80" customWidth="1"/>
    <col min="63" max="16384" width="11.42578125" style="80"/>
  </cols>
  <sheetData>
    <row r="1" spans="1:63" ht="15.75" customHeight="1" x14ac:dyDescent="0.25">
      <c r="A1" s="1370" t="s">
        <v>1156</v>
      </c>
      <c r="B1" s="1371"/>
      <c r="D1" s="112" t="str">
        <f>'DüV-N-Ackerbau (1)'!C1</f>
        <v>Testbetrieb</v>
      </c>
      <c r="E1" s="448"/>
      <c r="F1" s="112" t="str">
        <f>'DüV-N-Ackerbau (1)'!F1</f>
        <v>Erntejahr</v>
      </c>
      <c r="G1" s="448"/>
      <c r="H1" s="448"/>
      <c r="I1" s="448"/>
      <c r="J1" s="448"/>
      <c r="K1" s="448"/>
      <c r="L1" s="448"/>
      <c r="M1" s="448"/>
      <c r="N1" s="1372" t="s">
        <v>1157</v>
      </c>
      <c r="O1" s="1372"/>
      <c r="P1" s="448"/>
      <c r="Q1" s="449"/>
      <c r="S1" s="1370" t="s">
        <v>1156</v>
      </c>
      <c r="T1" s="1414"/>
      <c r="U1" s="1498" t="s">
        <v>1167</v>
      </c>
      <c r="V1" s="1498"/>
      <c r="W1" s="1498"/>
      <c r="X1" s="1498"/>
      <c r="Y1" s="1498"/>
      <c r="Z1" s="1498"/>
      <c r="AA1" s="1498"/>
      <c r="AB1" s="1498"/>
      <c r="AC1" s="1498"/>
      <c r="AD1" s="1498"/>
      <c r="AE1" s="1498"/>
      <c r="AF1" s="1498"/>
      <c r="AG1" s="1498"/>
      <c r="AH1" s="1281"/>
      <c r="AI1" s="1281"/>
      <c r="AJ1" s="1281"/>
      <c r="AK1" s="1281"/>
      <c r="AL1" s="1281"/>
      <c r="AM1" s="1281"/>
      <c r="AN1" s="1281"/>
    </row>
    <row r="2" spans="1:63" ht="22.5" customHeight="1" x14ac:dyDescent="0.25">
      <c r="A2" s="1371"/>
      <c r="B2" s="1371"/>
      <c r="D2" s="112">
        <f>'DüV-N-Ackerbau (1)'!C2</f>
        <v>1</v>
      </c>
      <c r="F2" s="112">
        <f>'DüV-N-Ackerbau (1)'!G1</f>
        <v>2022</v>
      </c>
      <c r="I2" s="400"/>
      <c r="J2" s="400"/>
      <c r="K2" s="400"/>
      <c r="L2" s="400"/>
      <c r="M2" s="400"/>
      <c r="N2" s="1372"/>
      <c r="O2" s="1372"/>
      <c r="P2" s="400"/>
      <c r="Q2" s="503"/>
      <c r="S2" s="1371"/>
      <c r="T2" s="1414"/>
      <c r="U2" s="1498"/>
      <c r="V2" s="1498"/>
      <c r="W2" s="1498"/>
      <c r="X2" s="1498"/>
      <c r="Y2" s="1498"/>
      <c r="Z2" s="1498"/>
      <c r="AA2" s="1498"/>
      <c r="AB2" s="1498"/>
      <c r="AC2" s="1498"/>
      <c r="AD2" s="1498"/>
      <c r="AE2" s="1498"/>
      <c r="AF2" s="1498"/>
      <c r="AG2" s="1498"/>
      <c r="AH2" s="1281"/>
      <c r="AI2" s="1281"/>
      <c r="AJ2" s="1281"/>
      <c r="AK2" s="1281"/>
      <c r="AL2" s="1281"/>
      <c r="AM2" s="1281"/>
      <c r="AN2" s="1281"/>
    </row>
    <row r="3" spans="1:63" ht="22.5" customHeight="1" x14ac:dyDescent="0.25">
      <c r="A3" s="1371"/>
      <c r="B3" s="1371"/>
      <c r="D3" s="112">
        <f>'DüV-N-Ackerbau (1)'!C3</f>
        <v>123456</v>
      </c>
      <c r="F3" s="370"/>
      <c r="H3" s="400"/>
      <c r="I3" s="400"/>
      <c r="J3" s="400"/>
      <c r="K3" s="400"/>
      <c r="L3" s="400"/>
      <c r="M3" s="400"/>
      <c r="N3" s="1372"/>
      <c r="O3" s="1372"/>
      <c r="P3" s="400"/>
      <c r="Q3" s="503"/>
      <c r="S3" s="1371"/>
      <c r="T3" s="1414"/>
      <c r="U3" s="1498"/>
      <c r="V3" s="1498"/>
      <c r="W3" s="1498"/>
      <c r="X3" s="1498"/>
      <c r="Y3" s="1498"/>
      <c r="Z3" s="1498"/>
      <c r="AA3" s="1498"/>
      <c r="AB3" s="1498"/>
      <c r="AC3" s="1498"/>
      <c r="AD3" s="1498"/>
      <c r="AE3" s="1498"/>
      <c r="AF3" s="1498"/>
      <c r="AG3" s="1498"/>
      <c r="AH3" s="1281"/>
      <c r="AI3" s="1281"/>
      <c r="AJ3" s="1281"/>
      <c r="AK3" s="1281"/>
      <c r="AL3" s="1281"/>
      <c r="AM3" s="1281"/>
      <c r="AN3" s="1281"/>
      <c r="AP3" s="1378" t="s">
        <v>1170</v>
      </c>
      <c r="AQ3" s="1379"/>
      <c r="AR3" s="1379"/>
      <c r="AS3" s="1379"/>
      <c r="AT3" s="1379"/>
      <c r="AU3" s="1379"/>
      <c r="AV3" s="1379"/>
      <c r="AW3" s="1379"/>
      <c r="AX3" s="1379"/>
      <c r="AY3" s="1379"/>
      <c r="AZ3" s="1380"/>
    </row>
    <row r="4" spans="1:63" ht="22.5" customHeight="1" x14ac:dyDescent="0.25">
      <c r="A4" s="1476" t="s">
        <v>616</v>
      </c>
      <c r="B4" s="1336"/>
      <c r="C4" s="1336"/>
      <c r="D4" s="1336"/>
      <c r="E4" s="1336"/>
      <c r="F4" s="1336"/>
      <c r="G4" s="1336"/>
      <c r="H4" s="1336"/>
      <c r="I4" s="1336"/>
      <c r="J4" s="1336"/>
      <c r="K4" s="1336"/>
      <c r="L4" s="1336"/>
      <c r="M4" s="1336"/>
      <c r="N4" s="1336"/>
      <c r="O4" s="1336"/>
      <c r="P4" s="1336"/>
      <c r="Q4" s="1477"/>
      <c r="AP4" s="1343"/>
      <c r="AQ4" s="1293"/>
      <c r="AR4" s="1293"/>
      <c r="AS4" s="1293"/>
      <c r="AT4" s="1293"/>
      <c r="AU4" s="1293"/>
      <c r="AV4" s="1293"/>
      <c r="AW4" s="1293"/>
      <c r="AX4" s="1293"/>
      <c r="AY4" s="1293"/>
      <c r="AZ4" s="1344"/>
    </row>
    <row r="5" spans="1:63" ht="22.5" customHeight="1" x14ac:dyDescent="0.25">
      <c r="A5" s="1476" t="s">
        <v>577</v>
      </c>
      <c r="B5" s="1336"/>
      <c r="C5" s="1336"/>
      <c r="D5" s="1336"/>
      <c r="E5" s="1336"/>
      <c r="F5" s="1336"/>
      <c r="G5" s="1336"/>
      <c r="H5" s="1336"/>
      <c r="I5" s="1336"/>
      <c r="J5" s="1336"/>
      <c r="K5" s="1336"/>
      <c r="L5" s="1336"/>
      <c r="M5" s="1336"/>
      <c r="N5" s="1336"/>
      <c r="O5" s="1336"/>
      <c r="P5" s="1336"/>
      <c r="Q5" s="1477"/>
      <c r="S5" s="1319" t="s">
        <v>1166</v>
      </c>
      <c r="T5" s="1319"/>
      <c r="U5" s="1319"/>
      <c r="V5" s="1319"/>
      <c r="W5" s="1319"/>
      <c r="X5" s="1319"/>
      <c r="Y5" s="1319"/>
      <c r="Z5" s="1319"/>
      <c r="AA5" s="1319"/>
      <c r="AB5" s="1319"/>
      <c r="AC5" s="1319"/>
      <c r="AD5" s="1319"/>
      <c r="AE5" s="1319"/>
      <c r="AF5" s="1319"/>
      <c r="AG5" s="1319"/>
      <c r="AH5" s="1319"/>
      <c r="AI5" s="1319"/>
      <c r="AJ5" s="1319"/>
      <c r="AK5" s="1319"/>
      <c r="AL5" s="1319"/>
      <c r="AM5" s="1319"/>
      <c r="AN5" s="1319"/>
      <c r="AP5" s="1343"/>
      <c r="AQ5" s="1293"/>
      <c r="AR5" s="1293"/>
      <c r="AS5" s="1293"/>
      <c r="AT5" s="1293"/>
      <c r="AU5" s="1293"/>
      <c r="AV5" s="1293"/>
      <c r="AW5" s="1293"/>
      <c r="AX5" s="1293"/>
      <c r="AY5" s="1293"/>
      <c r="AZ5" s="1344"/>
    </row>
    <row r="6" spans="1:63" ht="22.5" customHeight="1" x14ac:dyDescent="0.25">
      <c r="A6" s="1476" t="s">
        <v>576</v>
      </c>
      <c r="B6" s="1336"/>
      <c r="C6" s="1336"/>
      <c r="D6" s="1336"/>
      <c r="E6" s="1336"/>
      <c r="F6" s="1336"/>
      <c r="G6" s="1336"/>
      <c r="H6" s="1336"/>
      <c r="I6" s="1336"/>
      <c r="J6" s="1336"/>
      <c r="K6" s="1336"/>
      <c r="L6" s="1336"/>
      <c r="M6" s="1336"/>
      <c r="N6" s="1336"/>
      <c r="O6" s="1336"/>
      <c r="P6" s="1336"/>
      <c r="Q6" s="1477"/>
      <c r="S6" s="1319"/>
      <c r="T6" s="1319"/>
      <c r="U6" s="1319"/>
      <c r="V6" s="1319"/>
      <c r="W6" s="1319"/>
      <c r="X6" s="1319"/>
      <c r="Y6" s="1319"/>
      <c r="Z6" s="1319"/>
      <c r="AA6" s="1319"/>
      <c r="AB6" s="1319"/>
      <c r="AC6" s="1319"/>
      <c r="AD6" s="1319"/>
      <c r="AE6" s="1319"/>
      <c r="AF6" s="1319"/>
      <c r="AG6" s="1319"/>
      <c r="AH6" s="1319"/>
      <c r="AI6" s="1319"/>
      <c r="AJ6" s="1319"/>
      <c r="AK6" s="1319"/>
      <c r="AL6" s="1319"/>
      <c r="AM6" s="1319"/>
      <c r="AN6" s="1319"/>
      <c r="AP6" s="1345"/>
      <c r="AQ6" s="1381"/>
      <c r="AR6" s="1381"/>
      <c r="AS6" s="1381"/>
      <c r="AT6" s="1381"/>
      <c r="AU6" s="1381"/>
      <c r="AV6" s="1381"/>
      <c r="AW6" s="1381"/>
      <c r="AX6" s="1381"/>
      <c r="AY6" s="1381"/>
      <c r="AZ6" s="1346"/>
    </row>
    <row r="7" spans="1:63" ht="35.25" customHeight="1" thickBot="1" x14ac:dyDescent="0.3">
      <c r="A7" s="1476" t="s">
        <v>1101</v>
      </c>
      <c r="B7" s="1336"/>
      <c r="C7" s="1336"/>
      <c r="D7" s="1336"/>
      <c r="E7" s="1336"/>
      <c r="F7" s="1336"/>
      <c r="G7" s="1336"/>
      <c r="H7" s="1336"/>
      <c r="I7" s="1336"/>
      <c r="J7" s="1336"/>
      <c r="K7" s="1336"/>
      <c r="L7" s="1336"/>
      <c r="M7" s="1336"/>
      <c r="N7" s="1336"/>
      <c r="O7" s="1336"/>
      <c r="P7" s="1336"/>
      <c r="Q7" s="1477"/>
      <c r="AP7" s="1289" t="s">
        <v>1081</v>
      </c>
      <c r="AQ7" s="1289"/>
      <c r="AR7" s="1289"/>
      <c r="AS7" s="1289"/>
      <c r="AT7" s="1289"/>
      <c r="AU7" s="393"/>
      <c r="AV7" s="1277" t="s">
        <v>1092</v>
      </c>
      <c r="AW7" s="1278"/>
      <c r="AX7" s="1278"/>
      <c r="AY7" s="1278"/>
      <c r="AZ7" s="1278"/>
      <c r="BC7" s="3"/>
    </row>
    <row r="8" spans="1:63" ht="24.75" customHeight="1" x14ac:dyDescent="0.25">
      <c r="A8" s="1363" t="s">
        <v>1091</v>
      </c>
      <c r="B8" s="1406" t="s">
        <v>570</v>
      </c>
      <c r="C8" s="1489" t="s">
        <v>574</v>
      </c>
      <c r="D8" s="1496" t="s">
        <v>777</v>
      </c>
      <c r="E8" s="1478" t="s">
        <v>309</v>
      </c>
      <c r="F8" s="1305" t="s">
        <v>780</v>
      </c>
      <c r="G8" s="1478" t="s">
        <v>309</v>
      </c>
      <c r="H8" s="1305" t="s">
        <v>554</v>
      </c>
      <c r="I8" s="1478" t="s">
        <v>309</v>
      </c>
      <c r="J8" s="1305" t="s">
        <v>557</v>
      </c>
      <c r="K8" s="1408" t="s">
        <v>560</v>
      </c>
      <c r="L8" s="1478" t="s">
        <v>309</v>
      </c>
      <c r="M8" s="1481" t="s">
        <v>796</v>
      </c>
      <c r="N8" s="1480" t="s">
        <v>1028</v>
      </c>
      <c r="O8" s="1417"/>
      <c r="P8" s="1314" t="s">
        <v>1150</v>
      </c>
      <c r="Q8" s="1315"/>
      <c r="R8" s="114"/>
      <c r="S8" s="1475" t="s">
        <v>829</v>
      </c>
      <c r="T8" s="519"/>
      <c r="U8" s="1474" t="s">
        <v>828</v>
      </c>
      <c r="V8" s="1457"/>
      <c r="W8" s="1457"/>
      <c r="X8" s="1457"/>
      <c r="Y8" s="1457"/>
      <c r="Z8" s="1458"/>
      <c r="AA8" s="519"/>
      <c r="AB8" s="1474" t="s">
        <v>851</v>
      </c>
      <c r="AC8" s="1457"/>
      <c r="AD8" s="1457"/>
      <c r="AE8" s="1457"/>
      <c r="AF8" s="1457"/>
      <c r="AG8" s="1458"/>
      <c r="AH8" s="400"/>
      <c r="AI8" s="1474" t="s">
        <v>851</v>
      </c>
      <c r="AJ8" s="1457"/>
      <c r="AK8" s="1457"/>
      <c r="AL8" s="1457"/>
      <c r="AM8" s="1457"/>
      <c r="AN8" s="1458"/>
      <c r="AO8" s="400"/>
      <c r="AP8" s="1290"/>
      <c r="AQ8" s="1290"/>
      <c r="AR8" s="1290"/>
      <c r="AS8" s="1290"/>
      <c r="AT8" s="1290"/>
      <c r="AU8" s="393"/>
      <c r="AV8" s="1279"/>
      <c r="AW8" s="1279"/>
      <c r="AX8" s="1279"/>
      <c r="AY8" s="1279"/>
      <c r="AZ8" s="1279"/>
      <c r="BA8" s="390"/>
      <c r="BB8" s="390"/>
      <c r="BC8" s="32"/>
      <c r="BJ8" s="124"/>
      <c r="BK8" s="124"/>
    </row>
    <row r="9" spans="1:63" s="124" customFormat="1" ht="55.5" customHeight="1" thickBot="1" x14ac:dyDescent="0.3">
      <c r="A9" s="1364"/>
      <c r="B9" s="1407"/>
      <c r="C9" s="1490"/>
      <c r="D9" s="1497"/>
      <c r="E9" s="1479"/>
      <c r="F9" s="1296"/>
      <c r="G9" s="1479"/>
      <c r="H9" s="1296"/>
      <c r="I9" s="1479"/>
      <c r="J9" s="1296"/>
      <c r="K9" s="1294"/>
      <c r="L9" s="1479"/>
      <c r="M9" s="1482"/>
      <c r="N9" s="652" t="s">
        <v>328</v>
      </c>
      <c r="O9" s="505" t="s">
        <v>610</v>
      </c>
      <c r="P9" s="486" t="s">
        <v>605</v>
      </c>
      <c r="Q9" s="483" t="s">
        <v>611</v>
      </c>
      <c r="R9" s="723"/>
      <c r="S9" s="1396"/>
      <c r="T9" s="723"/>
      <c r="U9" s="745" t="s">
        <v>850</v>
      </c>
      <c r="V9" s="744" t="s">
        <v>830</v>
      </c>
      <c r="W9" s="681" t="s">
        <v>33</v>
      </c>
      <c r="X9" s="312" t="s">
        <v>1078</v>
      </c>
      <c r="Y9" s="681" t="s">
        <v>1079</v>
      </c>
      <c r="Z9" s="312" t="s">
        <v>1080</v>
      </c>
      <c r="AA9" s="723"/>
      <c r="AB9" s="745" t="s">
        <v>850</v>
      </c>
      <c r="AC9" s="744" t="s">
        <v>830</v>
      </c>
      <c r="AD9" s="681" t="s">
        <v>33</v>
      </c>
      <c r="AE9" s="312" t="s">
        <v>1078</v>
      </c>
      <c r="AF9" s="681" t="s">
        <v>1079</v>
      </c>
      <c r="AG9" s="312" t="s">
        <v>1080</v>
      </c>
      <c r="AH9" s="519"/>
      <c r="AI9" s="745" t="s">
        <v>850</v>
      </c>
      <c r="AJ9" s="744" t="s">
        <v>830</v>
      </c>
      <c r="AK9" s="681" t="s">
        <v>33</v>
      </c>
      <c r="AL9" s="312" t="s">
        <v>1078</v>
      </c>
      <c r="AM9" s="681" t="s">
        <v>1079</v>
      </c>
      <c r="AN9" s="312" t="s">
        <v>1080</v>
      </c>
      <c r="AO9" s="519"/>
      <c r="AP9" s="775" t="s">
        <v>1096</v>
      </c>
      <c r="AQ9" s="312" t="s">
        <v>1082</v>
      </c>
      <c r="AR9" s="312" t="s">
        <v>1099</v>
      </c>
      <c r="AS9" s="699" t="s">
        <v>1268</v>
      </c>
      <c r="AT9" s="312" t="s">
        <v>290</v>
      </c>
      <c r="AU9" s="519"/>
      <c r="AV9" s="780" t="s">
        <v>1096</v>
      </c>
      <c r="AW9" s="312" t="s">
        <v>1082</v>
      </c>
      <c r="AX9" s="781" t="s">
        <v>1098</v>
      </c>
      <c r="AY9" s="699" t="s">
        <v>1268</v>
      </c>
      <c r="AZ9" s="312" t="s">
        <v>290</v>
      </c>
      <c r="BA9" s="392"/>
      <c r="BB9" s="392"/>
      <c r="BC9" s="3"/>
      <c r="BD9" s="80"/>
    </row>
    <row r="10" spans="1:63" ht="28.5" customHeight="1" x14ac:dyDescent="0.25">
      <c r="A10" s="379" t="s">
        <v>1035</v>
      </c>
      <c r="B10" s="1221">
        <v>0</v>
      </c>
      <c r="C10" s="1493">
        <v>40</v>
      </c>
      <c r="D10" s="1027" t="s">
        <v>578</v>
      </c>
      <c r="E10" s="1024">
        <f t="shared" ref="E10:E31" si="0">IF(D10="bis 14 t/ha",0,10)</f>
        <v>0</v>
      </c>
      <c r="F10" s="645" t="s">
        <v>567</v>
      </c>
      <c r="G10" s="436">
        <f t="shared" ref="G10:G29" si="1">VLOOKUP(F10,BD$11:BE$20,2,FALSE)</f>
        <v>0</v>
      </c>
      <c r="H10" s="437" t="s">
        <v>299</v>
      </c>
      <c r="I10" s="438">
        <f t="shared" ref="I10:I30" si="2">VLOOKUP(H10,BG$11:BH$13,2,FALSE)</f>
        <v>0</v>
      </c>
      <c r="J10" s="439" t="s">
        <v>559</v>
      </c>
      <c r="K10" s="394" t="s">
        <v>562</v>
      </c>
      <c r="L10" s="436">
        <f t="shared" ref="L10:L29" si="3">IF(K10="jede zweite",BA10,BA10*2)</f>
        <v>0</v>
      </c>
      <c r="M10" s="1023"/>
      <c r="N10" s="440">
        <f t="shared" ref="N10:N31" si="4">IF(BB10&lt;=0,0,IF(BB10&gt;=80,80,BB10))</f>
        <v>40</v>
      </c>
      <c r="O10" s="504">
        <f t="shared" ref="O10:O31" si="5">N10*B10</f>
        <v>0</v>
      </c>
      <c r="P10" s="509">
        <v>10</v>
      </c>
      <c r="Q10" s="510">
        <f t="shared" ref="Q10:Q31" si="6">B10*P10</f>
        <v>0</v>
      </c>
      <c r="R10" s="692"/>
      <c r="S10" s="312" t="str">
        <f t="shared" ref="S10:S29" si="7">$A10</f>
        <v>Bsp. Eins</v>
      </c>
      <c r="T10" s="668"/>
      <c r="U10" s="899"/>
      <c r="V10" s="887" t="s">
        <v>805</v>
      </c>
      <c r="W10" s="906">
        <v>0</v>
      </c>
      <c r="X10" s="687">
        <f>VLOOKUP(V10,Düngemittel!$B$6:$E$64,2,FALSE)*(VLOOKUP(V10,Düngemittel!$B$6:$E$64,3,FALSE))/100*W10</f>
        <v>0</v>
      </c>
      <c r="Y10" s="687">
        <f>VLOOKUP(V10,Düngemittel!$B$6:$E$64,2,FALSE)*W10</f>
        <v>0</v>
      </c>
      <c r="Z10" s="687">
        <f>VLOOKUP(V10,Düngemittel!$B$6:$E$64,4,FALSE)*W10</f>
        <v>0</v>
      </c>
      <c r="AA10" s="668"/>
      <c r="AB10" s="899"/>
      <c r="AC10" s="887" t="s">
        <v>805</v>
      </c>
      <c r="AD10" s="906">
        <v>0</v>
      </c>
      <c r="AE10" s="687">
        <f>VLOOKUP(AC10,Düngemittel!$B$6:$E$64,2,FALSE)*(VLOOKUP(AC10,Düngemittel!$B$6:$E$64,3,FALSE))/100*AD10</f>
        <v>0</v>
      </c>
      <c r="AF10" s="687">
        <f>VLOOKUP(AC10,Düngemittel!$B$6:$E$64,2,FALSE)*AD10</f>
        <v>0</v>
      </c>
      <c r="AG10" s="687">
        <f>VLOOKUP(AC10,Düngemittel!$B$6:$E$64,4,FALSE)*AD10</f>
        <v>0</v>
      </c>
      <c r="AH10" s="666"/>
      <c r="AI10" s="899"/>
      <c r="AJ10" s="887" t="s">
        <v>805</v>
      </c>
      <c r="AK10" s="906">
        <v>0</v>
      </c>
      <c r="AL10" s="687">
        <f>VLOOKUP(AJ10,Düngemittel!$B$6:$E$64,2,FALSE)*(VLOOKUP(AJ10,Düngemittel!$B$6:$E$64,3,FALSE))/100*AK10</f>
        <v>0</v>
      </c>
      <c r="AM10" s="687">
        <f>VLOOKUP(AJ10,Düngemittel!$B$6:$E$64,2,FALSE)*AK10</f>
        <v>0</v>
      </c>
      <c r="AN10" s="687">
        <f>VLOOKUP(AJ10,Düngemittel!$B$6:$E$64,4,FALSE)*AK10</f>
        <v>0</v>
      </c>
      <c r="AO10" s="666"/>
      <c r="AP10" s="853">
        <f>IF(X10&lt;Y10,0,X10)+IF(AE10&lt;AF10,0,AE10)+IF(AL10&lt;AM10,0,AL10)</f>
        <v>0</v>
      </c>
      <c r="AQ10" s="308">
        <f>SUM(X10+AE10+AL10)</f>
        <v>0</v>
      </c>
      <c r="AR10" s="853">
        <f>SUM(Y10+AF10+AM10)</f>
        <v>0</v>
      </c>
      <c r="AS10" s="790">
        <f>IF(X10&lt;Y10,Y10,0)+IF(AE10&lt;AF10,AF10,0)+IF(AL10&lt;AM10,AM10,0)</f>
        <v>0</v>
      </c>
      <c r="AT10" s="308">
        <f>SUM(Z10+AG10+AN10)</f>
        <v>0</v>
      </c>
      <c r="AU10" s="786"/>
      <c r="AV10" s="853">
        <f>AP10*$B10</f>
        <v>0</v>
      </c>
      <c r="AW10" s="853">
        <f t="shared" ref="AW10:AZ10" si="8">AQ10*$B10</f>
        <v>0</v>
      </c>
      <c r="AX10" s="853">
        <f t="shared" si="8"/>
        <v>0</v>
      </c>
      <c r="AY10" s="853">
        <f t="shared" si="8"/>
        <v>0</v>
      </c>
      <c r="AZ10" s="853">
        <f t="shared" si="8"/>
        <v>0</v>
      </c>
      <c r="BA10" s="351">
        <f t="shared" ref="BA10:BA31" si="9">VLOOKUP(J10,BJ$11:BK$24,2,FALSE)</f>
        <v>0</v>
      </c>
      <c r="BB10" s="399">
        <f t="shared" ref="BB10:BB31" si="10">40+E10+G10+I10+L10-M10</f>
        <v>40</v>
      </c>
      <c r="BC10" s="3"/>
      <c r="BD10" s="112" t="s">
        <v>553</v>
      </c>
      <c r="BG10" s="112" t="s">
        <v>554</v>
      </c>
      <c r="BJ10" s="112" t="s">
        <v>557</v>
      </c>
    </row>
    <row r="11" spans="1:63" ht="28.5" customHeight="1" x14ac:dyDescent="0.25">
      <c r="A11" s="342" t="s">
        <v>571</v>
      </c>
      <c r="B11" s="1222">
        <v>0</v>
      </c>
      <c r="C11" s="1494"/>
      <c r="D11" s="1028" t="s">
        <v>578</v>
      </c>
      <c r="E11" s="1025">
        <f t="shared" si="0"/>
        <v>0</v>
      </c>
      <c r="F11" s="645" t="s">
        <v>567</v>
      </c>
      <c r="G11" s="436">
        <f t="shared" si="1"/>
        <v>0</v>
      </c>
      <c r="H11" s="437" t="s">
        <v>299</v>
      </c>
      <c r="I11" s="438">
        <f t="shared" si="2"/>
        <v>0</v>
      </c>
      <c r="J11" s="439" t="s">
        <v>559</v>
      </c>
      <c r="K11" s="394" t="s">
        <v>562</v>
      </c>
      <c r="L11" s="436">
        <f t="shared" si="3"/>
        <v>0</v>
      </c>
      <c r="M11" s="1023"/>
      <c r="N11" s="440">
        <f t="shared" si="4"/>
        <v>40</v>
      </c>
      <c r="O11" s="504">
        <f t="shared" si="5"/>
        <v>0</v>
      </c>
      <c r="P11" s="509">
        <v>10</v>
      </c>
      <c r="Q11" s="507">
        <f t="shared" si="6"/>
        <v>0</v>
      </c>
      <c r="R11" s="692"/>
      <c r="S11" s="312" t="str">
        <f t="shared" si="7"/>
        <v>Nummer 2</v>
      </c>
      <c r="T11" s="668"/>
      <c r="U11" s="899"/>
      <c r="V11" s="887" t="s">
        <v>805</v>
      </c>
      <c r="W11" s="906">
        <v>0</v>
      </c>
      <c r="X11" s="687">
        <f>VLOOKUP(V11,Düngemittel!$B$6:$E$64,2,FALSE)*(VLOOKUP(V11,Düngemittel!$B$6:$E$64,3,FALSE))/100*W11</f>
        <v>0</v>
      </c>
      <c r="Y11" s="687">
        <f>VLOOKUP(V11,Düngemittel!$B$6:$E$64,2,FALSE)*W11</f>
        <v>0</v>
      </c>
      <c r="Z11" s="687">
        <f>VLOOKUP(V11,Düngemittel!$B$6:$E$64,4,FALSE)*W11</f>
        <v>0</v>
      </c>
      <c r="AA11" s="668"/>
      <c r="AB11" s="899"/>
      <c r="AC11" s="887" t="s">
        <v>805</v>
      </c>
      <c r="AD11" s="906">
        <v>0</v>
      </c>
      <c r="AE11" s="687">
        <f>VLOOKUP(AC11,Düngemittel!$B$6:$E$64,2,FALSE)*(VLOOKUP(AC11,Düngemittel!$B$6:$E$64,3,FALSE))/100*AD11</f>
        <v>0</v>
      </c>
      <c r="AF11" s="687">
        <f>VLOOKUP(AC11,Düngemittel!$B$6:$E$64,2,FALSE)*AD11</f>
        <v>0</v>
      </c>
      <c r="AG11" s="687">
        <f>VLOOKUP(AC11,Düngemittel!$B$6:$E$64,4,FALSE)*AD11</f>
        <v>0</v>
      </c>
      <c r="AH11" s="666"/>
      <c r="AI11" s="899"/>
      <c r="AJ11" s="887" t="s">
        <v>805</v>
      </c>
      <c r="AK11" s="906">
        <v>0</v>
      </c>
      <c r="AL11" s="687">
        <f>VLOOKUP(AJ11,Düngemittel!$B$6:$E$64,2,FALSE)*(VLOOKUP(AJ11,Düngemittel!$B$6:$E$64,3,FALSE))/100*AK11</f>
        <v>0</v>
      </c>
      <c r="AM11" s="687">
        <f>VLOOKUP(AJ11,Düngemittel!$B$6:$E$64,2,FALSE)*AK11</f>
        <v>0</v>
      </c>
      <c r="AN11" s="687">
        <f>VLOOKUP(AJ11,Düngemittel!$B$6:$E$64,4,FALSE)*AK11</f>
        <v>0</v>
      </c>
      <c r="AO11" s="666"/>
      <c r="AP11" s="853">
        <f t="shared" ref="AP11:AP31" si="11">IF(X11&lt;Y11,0,X11)+IF(AE11&lt;AF11,0,AE11)+IF(AL11&lt;AM11,0,AL11)</f>
        <v>0</v>
      </c>
      <c r="AQ11" s="308">
        <f t="shared" ref="AQ11:AQ31" si="12">SUM(X11+AE11+AL11)</f>
        <v>0</v>
      </c>
      <c r="AR11" s="853">
        <f t="shared" ref="AR11:AR31" si="13">SUM(Y11+AF11+AM11)</f>
        <v>0</v>
      </c>
      <c r="AS11" s="790">
        <f t="shared" ref="AS11:AS31" si="14">IF(X11&lt;Y11,Y11,0)+IF(AE11&lt;AF11,AF11,0)+IF(AL11&lt;AM11,AM11,0)</f>
        <v>0</v>
      </c>
      <c r="AT11" s="308">
        <f t="shared" ref="AT11:AT31" si="15">SUM(Z11+AG11+AN11)</f>
        <v>0</v>
      </c>
      <c r="AU11" s="786"/>
      <c r="AV11" s="853">
        <f t="shared" ref="AV11:AV31" si="16">AP11*$B11</f>
        <v>0</v>
      </c>
      <c r="AW11" s="853">
        <f t="shared" ref="AW11:AW31" si="17">AQ11*$B11</f>
        <v>0</v>
      </c>
      <c r="AX11" s="853">
        <f t="shared" ref="AX11:AX31" si="18">AR11*$B11</f>
        <v>0</v>
      </c>
      <c r="AY11" s="853">
        <f t="shared" ref="AY11:AY31" si="19">AS11*$B11</f>
        <v>0</v>
      </c>
      <c r="AZ11" s="853">
        <f t="shared" ref="AZ11:AZ31" si="20">AT11*$B11</f>
        <v>0</v>
      </c>
      <c r="BA11" s="351">
        <f t="shared" si="9"/>
        <v>0</v>
      </c>
      <c r="BB11" s="399">
        <f t="shared" si="10"/>
        <v>40</v>
      </c>
      <c r="BC11" s="3"/>
      <c r="BD11" s="80" t="s">
        <v>563</v>
      </c>
      <c r="BE11" s="80">
        <v>20</v>
      </c>
      <c r="BG11" s="80" t="s">
        <v>555</v>
      </c>
      <c r="BH11" s="80">
        <v>30</v>
      </c>
      <c r="BJ11" s="400" t="s">
        <v>781</v>
      </c>
      <c r="BK11" s="80">
        <v>20</v>
      </c>
    </row>
    <row r="12" spans="1:63" ht="28.5" customHeight="1" x14ac:dyDescent="0.25">
      <c r="A12" s="342" t="s">
        <v>572</v>
      </c>
      <c r="B12" s="1222">
        <v>0</v>
      </c>
      <c r="C12" s="1494"/>
      <c r="D12" s="1028" t="s">
        <v>578</v>
      </c>
      <c r="E12" s="1025">
        <f t="shared" si="0"/>
        <v>0</v>
      </c>
      <c r="F12" s="645" t="s">
        <v>567</v>
      </c>
      <c r="G12" s="436">
        <f t="shared" si="1"/>
        <v>0</v>
      </c>
      <c r="H12" s="437" t="s">
        <v>299</v>
      </c>
      <c r="I12" s="438">
        <f t="shared" si="2"/>
        <v>0</v>
      </c>
      <c r="J12" s="439" t="s">
        <v>559</v>
      </c>
      <c r="K12" s="394" t="s">
        <v>562</v>
      </c>
      <c r="L12" s="436">
        <f t="shared" si="3"/>
        <v>0</v>
      </c>
      <c r="M12" s="1023"/>
      <c r="N12" s="440">
        <f t="shared" si="4"/>
        <v>40</v>
      </c>
      <c r="O12" s="504">
        <f t="shared" si="5"/>
        <v>0</v>
      </c>
      <c r="P12" s="509">
        <v>10</v>
      </c>
      <c r="Q12" s="507">
        <f t="shared" si="6"/>
        <v>0</v>
      </c>
      <c r="R12" s="692"/>
      <c r="S12" s="312" t="str">
        <f t="shared" si="7"/>
        <v>Fläche 3</v>
      </c>
      <c r="T12" s="668"/>
      <c r="U12" s="899"/>
      <c r="V12" s="887" t="s">
        <v>805</v>
      </c>
      <c r="W12" s="906">
        <v>0</v>
      </c>
      <c r="X12" s="687">
        <f>VLOOKUP(V12,Düngemittel!$B$6:$E$64,2,FALSE)*(VLOOKUP(V12,Düngemittel!$B$6:$E$64,3,FALSE))/100*W12</f>
        <v>0</v>
      </c>
      <c r="Y12" s="687">
        <f>VLOOKUP(V12,Düngemittel!$B$6:$E$64,2,FALSE)*W12</f>
        <v>0</v>
      </c>
      <c r="Z12" s="687">
        <f>VLOOKUP(V12,Düngemittel!$B$6:$E$64,4,FALSE)*W12</f>
        <v>0</v>
      </c>
      <c r="AA12" s="668"/>
      <c r="AB12" s="899"/>
      <c r="AC12" s="887" t="s">
        <v>805</v>
      </c>
      <c r="AD12" s="906">
        <v>0</v>
      </c>
      <c r="AE12" s="687">
        <f>VLOOKUP(AC12,Düngemittel!$B$6:$E$64,2,FALSE)*(VLOOKUP(AC12,Düngemittel!$B$6:$E$64,3,FALSE))/100*AD12</f>
        <v>0</v>
      </c>
      <c r="AF12" s="687">
        <f>VLOOKUP(AC12,Düngemittel!$B$6:$E$64,2,FALSE)*AD12</f>
        <v>0</v>
      </c>
      <c r="AG12" s="687">
        <f>VLOOKUP(AC12,Düngemittel!$B$6:$E$64,4,FALSE)*AD12</f>
        <v>0</v>
      </c>
      <c r="AH12" s="666"/>
      <c r="AI12" s="899"/>
      <c r="AJ12" s="887" t="s">
        <v>805</v>
      </c>
      <c r="AK12" s="906">
        <v>0</v>
      </c>
      <c r="AL12" s="687">
        <f>VLOOKUP(AJ12,Düngemittel!$B$6:$E$64,2,FALSE)*(VLOOKUP(AJ12,Düngemittel!$B$6:$E$64,3,FALSE))/100*AK12</f>
        <v>0</v>
      </c>
      <c r="AM12" s="687">
        <f>VLOOKUP(AJ12,Düngemittel!$B$6:$E$64,2,FALSE)*AK12</f>
        <v>0</v>
      </c>
      <c r="AN12" s="687">
        <f>VLOOKUP(AJ12,Düngemittel!$B$6:$E$64,4,FALSE)*AK12</f>
        <v>0</v>
      </c>
      <c r="AO12" s="666"/>
      <c r="AP12" s="853">
        <f t="shared" si="11"/>
        <v>0</v>
      </c>
      <c r="AQ12" s="308">
        <f t="shared" si="12"/>
        <v>0</v>
      </c>
      <c r="AR12" s="853">
        <f t="shared" si="13"/>
        <v>0</v>
      </c>
      <c r="AS12" s="790">
        <f t="shared" si="14"/>
        <v>0</v>
      </c>
      <c r="AT12" s="308">
        <f t="shared" si="15"/>
        <v>0</v>
      </c>
      <c r="AU12" s="786"/>
      <c r="AV12" s="853">
        <f t="shared" si="16"/>
        <v>0</v>
      </c>
      <c r="AW12" s="853">
        <f t="shared" si="17"/>
        <v>0</v>
      </c>
      <c r="AX12" s="853">
        <f t="shared" si="18"/>
        <v>0</v>
      </c>
      <c r="AY12" s="853">
        <f t="shared" si="19"/>
        <v>0</v>
      </c>
      <c r="AZ12" s="853">
        <f t="shared" si="20"/>
        <v>0</v>
      </c>
      <c r="BA12" s="351">
        <f t="shared" si="9"/>
        <v>0</v>
      </c>
      <c r="BB12" s="399">
        <f t="shared" si="10"/>
        <v>40</v>
      </c>
      <c r="BC12" s="3"/>
      <c r="BD12" s="80" t="s">
        <v>564</v>
      </c>
      <c r="BE12" s="80">
        <v>0</v>
      </c>
      <c r="BG12" s="80" t="s">
        <v>299</v>
      </c>
      <c r="BH12" s="80">
        <v>0</v>
      </c>
      <c r="BJ12" s="400" t="s">
        <v>782</v>
      </c>
      <c r="BK12" s="80">
        <v>0</v>
      </c>
    </row>
    <row r="13" spans="1:63" ht="28.5" customHeight="1" x14ac:dyDescent="0.25">
      <c r="A13" s="342" t="s">
        <v>573</v>
      </c>
      <c r="B13" s="1222">
        <v>0</v>
      </c>
      <c r="C13" s="1494"/>
      <c r="D13" s="1028" t="s">
        <v>578</v>
      </c>
      <c r="E13" s="1025">
        <f t="shared" si="0"/>
        <v>0</v>
      </c>
      <c r="F13" s="645" t="s">
        <v>567</v>
      </c>
      <c r="G13" s="436">
        <f t="shared" si="1"/>
        <v>0</v>
      </c>
      <c r="H13" s="437" t="s">
        <v>299</v>
      </c>
      <c r="I13" s="438">
        <f t="shared" si="2"/>
        <v>0</v>
      </c>
      <c r="J13" s="439" t="s">
        <v>559</v>
      </c>
      <c r="K13" s="394" t="s">
        <v>562</v>
      </c>
      <c r="L13" s="436">
        <f t="shared" si="3"/>
        <v>0</v>
      </c>
      <c r="M13" s="1023"/>
      <c r="N13" s="440">
        <f t="shared" si="4"/>
        <v>40</v>
      </c>
      <c r="O13" s="504">
        <f t="shared" si="5"/>
        <v>0</v>
      </c>
      <c r="P13" s="509">
        <v>10</v>
      </c>
      <c r="Q13" s="507">
        <f t="shared" si="6"/>
        <v>0</v>
      </c>
      <c r="R13" s="692"/>
      <c r="S13" s="312" t="str">
        <f t="shared" si="7"/>
        <v>Schlag 4</v>
      </c>
      <c r="T13" s="668"/>
      <c r="U13" s="899"/>
      <c r="V13" s="887" t="s">
        <v>805</v>
      </c>
      <c r="W13" s="906">
        <v>0</v>
      </c>
      <c r="X13" s="687">
        <f>VLOOKUP(V13,Düngemittel!$B$6:$E$64,2,FALSE)*(VLOOKUP(V13,Düngemittel!$B$6:$E$64,3,FALSE))/100*W13</f>
        <v>0</v>
      </c>
      <c r="Y13" s="687">
        <f>VLOOKUP(V13,Düngemittel!$B$6:$E$64,2,FALSE)*W13</f>
        <v>0</v>
      </c>
      <c r="Z13" s="687">
        <f>VLOOKUP(V13,Düngemittel!$B$6:$E$64,4,FALSE)*W13</f>
        <v>0</v>
      </c>
      <c r="AA13" s="668"/>
      <c r="AB13" s="899"/>
      <c r="AC13" s="887" t="s">
        <v>805</v>
      </c>
      <c r="AD13" s="906">
        <v>0</v>
      </c>
      <c r="AE13" s="687">
        <f>VLOOKUP(AC13,Düngemittel!$B$6:$E$64,2,FALSE)*(VLOOKUP(AC13,Düngemittel!$B$6:$E$64,3,FALSE))/100*AD13</f>
        <v>0</v>
      </c>
      <c r="AF13" s="687">
        <f>VLOOKUP(AC13,Düngemittel!$B$6:$E$64,2,FALSE)*AD13</f>
        <v>0</v>
      </c>
      <c r="AG13" s="687">
        <f>VLOOKUP(AC13,Düngemittel!$B$6:$E$64,4,FALSE)*AD13</f>
        <v>0</v>
      </c>
      <c r="AH13" s="666"/>
      <c r="AI13" s="899"/>
      <c r="AJ13" s="887" t="s">
        <v>805</v>
      </c>
      <c r="AK13" s="906">
        <v>0</v>
      </c>
      <c r="AL13" s="687">
        <f>VLOOKUP(AJ13,Düngemittel!$B$6:$E$64,2,FALSE)*(VLOOKUP(AJ13,Düngemittel!$B$6:$E$64,3,FALSE))/100*AK13</f>
        <v>0</v>
      </c>
      <c r="AM13" s="687">
        <f>VLOOKUP(AJ13,Düngemittel!$B$6:$E$64,2,FALSE)*AK13</f>
        <v>0</v>
      </c>
      <c r="AN13" s="687">
        <f>VLOOKUP(AJ13,Düngemittel!$B$6:$E$64,4,FALSE)*AK13</f>
        <v>0</v>
      </c>
      <c r="AO13" s="666"/>
      <c r="AP13" s="853">
        <f t="shared" si="11"/>
        <v>0</v>
      </c>
      <c r="AQ13" s="308">
        <f t="shared" si="12"/>
        <v>0</v>
      </c>
      <c r="AR13" s="853">
        <f t="shared" si="13"/>
        <v>0</v>
      </c>
      <c r="AS13" s="790">
        <f t="shared" si="14"/>
        <v>0</v>
      </c>
      <c r="AT13" s="308">
        <f t="shared" si="15"/>
        <v>0</v>
      </c>
      <c r="AU13" s="786"/>
      <c r="AV13" s="853">
        <f t="shared" si="16"/>
        <v>0</v>
      </c>
      <c r="AW13" s="853">
        <f t="shared" si="17"/>
        <v>0</v>
      </c>
      <c r="AX13" s="853">
        <f t="shared" si="18"/>
        <v>0</v>
      </c>
      <c r="AY13" s="853">
        <f t="shared" si="19"/>
        <v>0</v>
      </c>
      <c r="AZ13" s="853">
        <f t="shared" si="20"/>
        <v>0</v>
      </c>
      <c r="BA13" s="351">
        <f t="shared" si="9"/>
        <v>0</v>
      </c>
      <c r="BB13" s="399">
        <f t="shared" si="10"/>
        <v>40</v>
      </c>
      <c r="BC13" s="3"/>
      <c r="BD13" s="80" t="s">
        <v>565</v>
      </c>
      <c r="BE13" s="80">
        <v>-40</v>
      </c>
      <c r="BG13" s="80" t="s">
        <v>556</v>
      </c>
      <c r="BH13" s="80">
        <v>-30</v>
      </c>
      <c r="BJ13" s="400" t="s">
        <v>783</v>
      </c>
      <c r="BK13" s="80">
        <v>0</v>
      </c>
    </row>
    <row r="14" spans="1:63" ht="28.5" customHeight="1" x14ac:dyDescent="0.25">
      <c r="A14" s="342">
        <v>5</v>
      </c>
      <c r="B14" s="1222">
        <v>0</v>
      </c>
      <c r="C14" s="1494"/>
      <c r="D14" s="1028" t="s">
        <v>578</v>
      </c>
      <c r="E14" s="1025">
        <f t="shared" si="0"/>
        <v>0</v>
      </c>
      <c r="F14" s="645" t="s">
        <v>567</v>
      </c>
      <c r="G14" s="436">
        <f t="shared" si="1"/>
        <v>0</v>
      </c>
      <c r="H14" s="437" t="s">
        <v>299</v>
      </c>
      <c r="I14" s="438">
        <f t="shared" si="2"/>
        <v>0</v>
      </c>
      <c r="J14" s="439" t="s">
        <v>559</v>
      </c>
      <c r="K14" s="394" t="s">
        <v>562</v>
      </c>
      <c r="L14" s="436">
        <f t="shared" si="3"/>
        <v>0</v>
      </c>
      <c r="M14" s="1023"/>
      <c r="N14" s="440">
        <f t="shared" si="4"/>
        <v>40</v>
      </c>
      <c r="O14" s="504">
        <f t="shared" si="5"/>
        <v>0</v>
      </c>
      <c r="P14" s="509">
        <v>10</v>
      </c>
      <c r="Q14" s="507">
        <f t="shared" si="6"/>
        <v>0</v>
      </c>
      <c r="R14" s="692"/>
      <c r="S14" s="312">
        <f t="shared" si="7"/>
        <v>5</v>
      </c>
      <c r="T14" s="668"/>
      <c r="U14" s="899"/>
      <c r="V14" s="887" t="s">
        <v>805</v>
      </c>
      <c r="W14" s="906">
        <v>0</v>
      </c>
      <c r="X14" s="687">
        <f>VLOOKUP(V14,Düngemittel!$B$6:$E$64,2,FALSE)*(VLOOKUP(V14,Düngemittel!$B$6:$E$64,3,FALSE))/100*W14</f>
        <v>0</v>
      </c>
      <c r="Y14" s="687">
        <f>VLOOKUP(V14,Düngemittel!$B$6:$E$64,2,FALSE)*W14</f>
        <v>0</v>
      </c>
      <c r="Z14" s="687">
        <f>VLOOKUP(V14,Düngemittel!$B$6:$E$64,4,FALSE)*W14</f>
        <v>0</v>
      </c>
      <c r="AA14" s="668"/>
      <c r="AB14" s="899"/>
      <c r="AC14" s="887" t="s">
        <v>805</v>
      </c>
      <c r="AD14" s="906">
        <v>0</v>
      </c>
      <c r="AE14" s="687">
        <f>VLOOKUP(AC14,Düngemittel!$B$6:$E$64,2,FALSE)*(VLOOKUP(AC14,Düngemittel!$B$6:$E$64,3,FALSE))/100*AD14</f>
        <v>0</v>
      </c>
      <c r="AF14" s="687">
        <f>VLOOKUP(AC14,Düngemittel!$B$6:$E$64,2,FALSE)*AD14</f>
        <v>0</v>
      </c>
      <c r="AG14" s="687">
        <f>VLOOKUP(AC14,Düngemittel!$B$6:$E$64,4,FALSE)*AD14</f>
        <v>0</v>
      </c>
      <c r="AH14" s="666"/>
      <c r="AI14" s="899"/>
      <c r="AJ14" s="887" t="s">
        <v>805</v>
      </c>
      <c r="AK14" s="906">
        <v>0</v>
      </c>
      <c r="AL14" s="687">
        <f>VLOOKUP(AJ14,Düngemittel!$B$6:$E$64,2,FALSE)*(VLOOKUP(AJ14,Düngemittel!$B$6:$E$64,3,FALSE))/100*AK14</f>
        <v>0</v>
      </c>
      <c r="AM14" s="687">
        <f>VLOOKUP(AJ14,Düngemittel!$B$6:$E$64,2,FALSE)*AK14</f>
        <v>0</v>
      </c>
      <c r="AN14" s="687">
        <f>VLOOKUP(AJ14,Düngemittel!$B$6:$E$64,4,FALSE)*AK14</f>
        <v>0</v>
      </c>
      <c r="AO14" s="666"/>
      <c r="AP14" s="853">
        <f t="shared" si="11"/>
        <v>0</v>
      </c>
      <c r="AQ14" s="308">
        <f t="shared" si="12"/>
        <v>0</v>
      </c>
      <c r="AR14" s="853">
        <f t="shared" si="13"/>
        <v>0</v>
      </c>
      <c r="AS14" s="790">
        <f t="shared" si="14"/>
        <v>0</v>
      </c>
      <c r="AT14" s="308">
        <f t="shared" si="15"/>
        <v>0</v>
      </c>
      <c r="AU14" s="786"/>
      <c r="AV14" s="853">
        <f t="shared" si="16"/>
        <v>0</v>
      </c>
      <c r="AW14" s="853">
        <f t="shared" si="17"/>
        <v>0</v>
      </c>
      <c r="AX14" s="853">
        <f t="shared" si="18"/>
        <v>0</v>
      </c>
      <c r="AY14" s="853">
        <f t="shared" si="19"/>
        <v>0</v>
      </c>
      <c r="AZ14" s="853">
        <f t="shared" si="20"/>
        <v>0</v>
      </c>
      <c r="BA14" s="351">
        <f t="shared" si="9"/>
        <v>0</v>
      </c>
      <c r="BB14" s="399">
        <f t="shared" si="10"/>
        <v>40</v>
      </c>
      <c r="BC14" s="3"/>
      <c r="BD14" s="80" t="s">
        <v>566</v>
      </c>
      <c r="BE14" s="80">
        <v>20</v>
      </c>
      <c r="BJ14" s="400" t="s">
        <v>784</v>
      </c>
      <c r="BK14" s="80">
        <v>-15</v>
      </c>
    </row>
    <row r="15" spans="1:63" ht="28.5" customHeight="1" x14ac:dyDescent="0.25">
      <c r="A15" s="342">
        <v>6</v>
      </c>
      <c r="B15" s="1222">
        <v>0</v>
      </c>
      <c r="C15" s="1494"/>
      <c r="D15" s="1028" t="s">
        <v>578</v>
      </c>
      <c r="E15" s="1025">
        <f t="shared" si="0"/>
        <v>0</v>
      </c>
      <c r="F15" s="645" t="s">
        <v>567</v>
      </c>
      <c r="G15" s="436">
        <f t="shared" si="1"/>
        <v>0</v>
      </c>
      <c r="H15" s="437" t="s">
        <v>299</v>
      </c>
      <c r="I15" s="438">
        <f t="shared" si="2"/>
        <v>0</v>
      </c>
      <c r="J15" s="439" t="s">
        <v>559</v>
      </c>
      <c r="K15" s="394" t="s">
        <v>562</v>
      </c>
      <c r="L15" s="436">
        <f t="shared" si="3"/>
        <v>0</v>
      </c>
      <c r="M15" s="1023"/>
      <c r="N15" s="440">
        <f t="shared" si="4"/>
        <v>40</v>
      </c>
      <c r="O15" s="504">
        <f t="shared" si="5"/>
        <v>0</v>
      </c>
      <c r="P15" s="509">
        <v>10</v>
      </c>
      <c r="Q15" s="507">
        <f t="shared" si="6"/>
        <v>0</v>
      </c>
      <c r="R15" s="692"/>
      <c r="S15" s="312">
        <f t="shared" si="7"/>
        <v>6</v>
      </c>
      <c r="T15" s="668"/>
      <c r="U15" s="899"/>
      <c r="V15" s="887" t="s">
        <v>805</v>
      </c>
      <c r="W15" s="906">
        <v>0</v>
      </c>
      <c r="X15" s="687">
        <f>VLOOKUP(V15,Düngemittel!$B$6:$E$64,2,FALSE)*(VLOOKUP(V15,Düngemittel!$B$6:$E$64,3,FALSE))/100*W15</f>
        <v>0</v>
      </c>
      <c r="Y15" s="687">
        <f>VLOOKUP(V15,Düngemittel!$B$6:$E$64,2,FALSE)*W15</f>
        <v>0</v>
      </c>
      <c r="Z15" s="687">
        <f>VLOOKUP(V15,Düngemittel!$B$6:$E$64,4,FALSE)*W15</f>
        <v>0</v>
      </c>
      <c r="AA15" s="668"/>
      <c r="AB15" s="899"/>
      <c r="AC15" s="887" t="s">
        <v>805</v>
      </c>
      <c r="AD15" s="906">
        <v>0</v>
      </c>
      <c r="AE15" s="687">
        <f>VLOOKUP(AC15,Düngemittel!$B$6:$E$64,2,FALSE)*(VLOOKUP(AC15,Düngemittel!$B$6:$E$64,3,FALSE))/100*AD15</f>
        <v>0</v>
      </c>
      <c r="AF15" s="687">
        <f>VLOOKUP(AC15,Düngemittel!$B$6:$E$64,2,FALSE)*AD15</f>
        <v>0</v>
      </c>
      <c r="AG15" s="687">
        <f>VLOOKUP(AC15,Düngemittel!$B$6:$E$64,4,FALSE)*AD15</f>
        <v>0</v>
      </c>
      <c r="AH15" s="666"/>
      <c r="AI15" s="899"/>
      <c r="AJ15" s="887" t="s">
        <v>805</v>
      </c>
      <c r="AK15" s="906">
        <v>0</v>
      </c>
      <c r="AL15" s="687">
        <f>VLOOKUP(AJ15,Düngemittel!$B$6:$E$64,2,FALSE)*(VLOOKUP(AJ15,Düngemittel!$B$6:$E$64,3,FALSE))/100*AK15</f>
        <v>0</v>
      </c>
      <c r="AM15" s="687">
        <f>VLOOKUP(AJ15,Düngemittel!$B$6:$E$64,2,FALSE)*AK15</f>
        <v>0</v>
      </c>
      <c r="AN15" s="687">
        <f>VLOOKUP(AJ15,Düngemittel!$B$6:$E$64,4,FALSE)*AK15</f>
        <v>0</v>
      </c>
      <c r="AO15" s="666"/>
      <c r="AP15" s="853">
        <f t="shared" si="11"/>
        <v>0</v>
      </c>
      <c r="AQ15" s="308">
        <f t="shared" si="12"/>
        <v>0</v>
      </c>
      <c r="AR15" s="853">
        <f t="shared" si="13"/>
        <v>0</v>
      </c>
      <c r="AS15" s="790">
        <f t="shared" si="14"/>
        <v>0</v>
      </c>
      <c r="AT15" s="308">
        <f t="shared" si="15"/>
        <v>0</v>
      </c>
      <c r="AU15" s="786"/>
      <c r="AV15" s="853">
        <f t="shared" si="16"/>
        <v>0</v>
      </c>
      <c r="AW15" s="853">
        <f t="shared" si="17"/>
        <v>0</v>
      </c>
      <c r="AX15" s="853">
        <f t="shared" si="18"/>
        <v>0</v>
      </c>
      <c r="AY15" s="853">
        <f t="shared" si="19"/>
        <v>0</v>
      </c>
      <c r="AZ15" s="853">
        <f t="shared" si="20"/>
        <v>0</v>
      </c>
      <c r="BA15" s="351">
        <f t="shared" si="9"/>
        <v>0</v>
      </c>
      <c r="BB15" s="399">
        <f t="shared" si="10"/>
        <v>40</v>
      </c>
      <c r="BC15"/>
      <c r="BD15" s="80" t="s">
        <v>567</v>
      </c>
      <c r="BE15" s="80">
        <v>0</v>
      </c>
      <c r="BJ15" s="400" t="s">
        <v>785</v>
      </c>
      <c r="BK15" s="80">
        <v>-20</v>
      </c>
    </row>
    <row r="16" spans="1:63" ht="28.5" customHeight="1" x14ac:dyDescent="0.25">
      <c r="A16" s="342">
        <v>7</v>
      </c>
      <c r="B16" s="1222">
        <v>0</v>
      </c>
      <c r="C16" s="1494"/>
      <c r="D16" s="1028" t="s">
        <v>578</v>
      </c>
      <c r="E16" s="1025">
        <f t="shared" si="0"/>
        <v>0</v>
      </c>
      <c r="F16" s="645" t="s">
        <v>567</v>
      </c>
      <c r="G16" s="436">
        <f t="shared" si="1"/>
        <v>0</v>
      </c>
      <c r="H16" s="437" t="s">
        <v>299</v>
      </c>
      <c r="I16" s="438">
        <f t="shared" si="2"/>
        <v>0</v>
      </c>
      <c r="J16" s="439" t="s">
        <v>559</v>
      </c>
      <c r="K16" s="394" t="s">
        <v>562</v>
      </c>
      <c r="L16" s="436">
        <f t="shared" si="3"/>
        <v>0</v>
      </c>
      <c r="M16" s="1023"/>
      <c r="N16" s="440">
        <f t="shared" si="4"/>
        <v>40</v>
      </c>
      <c r="O16" s="504">
        <f t="shared" si="5"/>
        <v>0</v>
      </c>
      <c r="P16" s="509">
        <v>10</v>
      </c>
      <c r="Q16" s="507">
        <f t="shared" si="6"/>
        <v>0</v>
      </c>
      <c r="R16" s="692"/>
      <c r="S16" s="312">
        <f t="shared" si="7"/>
        <v>7</v>
      </c>
      <c r="T16" s="668"/>
      <c r="U16" s="899"/>
      <c r="V16" s="887" t="s">
        <v>805</v>
      </c>
      <c r="W16" s="906">
        <v>0</v>
      </c>
      <c r="X16" s="687">
        <f>VLOOKUP(V16,Düngemittel!$B$6:$E$64,2,FALSE)*(VLOOKUP(V16,Düngemittel!$B$6:$E$64,3,FALSE))/100*W16</f>
        <v>0</v>
      </c>
      <c r="Y16" s="687">
        <f>VLOOKUP(V16,Düngemittel!$B$6:$E$64,2,FALSE)*W16</f>
        <v>0</v>
      </c>
      <c r="Z16" s="687">
        <f>VLOOKUP(V16,Düngemittel!$B$6:$E$64,4,FALSE)*W16</f>
        <v>0</v>
      </c>
      <c r="AA16" s="668"/>
      <c r="AB16" s="899"/>
      <c r="AC16" s="887" t="s">
        <v>805</v>
      </c>
      <c r="AD16" s="906">
        <v>0</v>
      </c>
      <c r="AE16" s="687">
        <f>VLOOKUP(AC16,Düngemittel!$B$6:$E$64,2,FALSE)*(VLOOKUP(AC16,Düngemittel!$B$6:$E$64,3,FALSE))/100*AD16</f>
        <v>0</v>
      </c>
      <c r="AF16" s="687">
        <f>VLOOKUP(AC16,Düngemittel!$B$6:$E$64,2,FALSE)*AD16</f>
        <v>0</v>
      </c>
      <c r="AG16" s="687">
        <f>VLOOKUP(AC16,Düngemittel!$B$6:$E$64,4,FALSE)*AD16</f>
        <v>0</v>
      </c>
      <c r="AH16" s="666"/>
      <c r="AI16" s="899"/>
      <c r="AJ16" s="887" t="s">
        <v>805</v>
      </c>
      <c r="AK16" s="906">
        <v>0</v>
      </c>
      <c r="AL16" s="687">
        <f>VLOOKUP(AJ16,Düngemittel!$B$6:$E$64,2,FALSE)*(VLOOKUP(AJ16,Düngemittel!$B$6:$E$64,3,FALSE))/100*AK16</f>
        <v>0</v>
      </c>
      <c r="AM16" s="687">
        <f>VLOOKUP(AJ16,Düngemittel!$B$6:$E$64,2,FALSE)*AK16</f>
        <v>0</v>
      </c>
      <c r="AN16" s="687">
        <f>VLOOKUP(AJ16,Düngemittel!$B$6:$E$64,4,FALSE)*AK16</f>
        <v>0</v>
      </c>
      <c r="AO16" s="666"/>
      <c r="AP16" s="853">
        <f t="shared" si="11"/>
        <v>0</v>
      </c>
      <c r="AQ16" s="308">
        <f t="shared" si="12"/>
        <v>0</v>
      </c>
      <c r="AR16" s="853">
        <f t="shared" si="13"/>
        <v>0</v>
      </c>
      <c r="AS16" s="790">
        <f t="shared" si="14"/>
        <v>0</v>
      </c>
      <c r="AT16" s="308">
        <f t="shared" si="15"/>
        <v>0</v>
      </c>
      <c r="AU16" s="786"/>
      <c r="AV16" s="853">
        <f t="shared" si="16"/>
        <v>0</v>
      </c>
      <c r="AW16" s="853">
        <f t="shared" si="17"/>
        <v>0</v>
      </c>
      <c r="AX16" s="853">
        <f t="shared" si="18"/>
        <v>0</v>
      </c>
      <c r="AY16" s="853">
        <f t="shared" si="19"/>
        <v>0</v>
      </c>
      <c r="AZ16" s="853">
        <f t="shared" si="20"/>
        <v>0</v>
      </c>
      <c r="BA16" s="351">
        <f t="shared" si="9"/>
        <v>0</v>
      </c>
      <c r="BB16" s="399">
        <f t="shared" si="10"/>
        <v>40</v>
      </c>
      <c r="BD16" s="80" t="s">
        <v>568</v>
      </c>
      <c r="BE16" s="80">
        <v>-40</v>
      </c>
      <c r="BJ16" s="400" t="s">
        <v>786</v>
      </c>
      <c r="BK16" s="80">
        <v>-40</v>
      </c>
    </row>
    <row r="17" spans="1:63" ht="28.5" customHeight="1" x14ac:dyDescent="0.25">
      <c r="A17" s="342">
        <v>8</v>
      </c>
      <c r="B17" s="1222">
        <v>0</v>
      </c>
      <c r="C17" s="1494"/>
      <c r="D17" s="1028" t="s">
        <v>578</v>
      </c>
      <c r="E17" s="1025">
        <f t="shared" si="0"/>
        <v>0</v>
      </c>
      <c r="F17" s="645" t="s">
        <v>567</v>
      </c>
      <c r="G17" s="436">
        <f t="shared" si="1"/>
        <v>0</v>
      </c>
      <c r="H17" s="437" t="s">
        <v>299</v>
      </c>
      <c r="I17" s="438">
        <f t="shared" si="2"/>
        <v>0</v>
      </c>
      <c r="J17" s="439" t="s">
        <v>559</v>
      </c>
      <c r="K17" s="394" t="s">
        <v>562</v>
      </c>
      <c r="L17" s="436">
        <f t="shared" si="3"/>
        <v>0</v>
      </c>
      <c r="M17" s="1023"/>
      <c r="N17" s="440">
        <f t="shared" si="4"/>
        <v>40</v>
      </c>
      <c r="O17" s="504">
        <f t="shared" si="5"/>
        <v>0</v>
      </c>
      <c r="P17" s="509">
        <v>10</v>
      </c>
      <c r="Q17" s="507">
        <f t="shared" si="6"/>
        <v>0</v>
      </c>
      <c r="R17" s="692"/>
      <c r="S17" s="312">
        <f t="shared" si="7"/>
        <v>8</v>
      </c>
      <c r="T17" s="668"/>
      <c r="U17" s="899"/>
      <c r="V17" s="887" t="s">
        <v>805</v>
      </c>
      <c r="W17" s="906">
        <v>0</v>
      </c>
      <c r="X17" s="687">
        <f>VLOOKUP(V17,Düngemittel!$B$6:$E$64,2,FALSE)*(VLOOKUP(V17,Düngemittel!$B$6:$E$64,3,FALSE))/100*W17</f>
        <v>0</v>
      </c>
      <c r="Y17" s="687">
        <f>VLOOKUP(V17,Düngemittel!$B$6:$E$64,2,FALSE)*W17</f>
        <v>0</v>
      </c>
      <c r="Z17" s="687">
        <f>VLOOKUP(V17,Düngemittel!$B$6:$E$64,4,FALSE)*W17</f>
        <v>0</v>
      </c>
      <c r="AA17" s="668"/>
      <c r="AB17" s="899"/>
      <c r="AC17" s="887" t="s">
        <v>805</v>
      </c>
      <c r="AD17" s="906">
        <v>0</v>
      </c>
      <c r="AE17" s="687">
        <f>VLOOKUP(AC17,Düngemittel!$B$6:$E$64,2,FALSE)*(VLOOKUP(AC17,Düngemittel!$B$6:$E$64,3,FALSE))/100*AD17</f>
        <v>0</v>
      </c>
      <c r="AF17" s="687">
        <f>VLOOKUP(AC17,Düngemittel!$B$6:$E$64,2,FALSE)*AD17</f>
        <v>0</v>
      </c>
      <c r="AG17" s="687">
        <f>VLOOKUP(AC17,Düngemittel!$B$6:$E$64,4,FALSE)*AD17</f>
        <v>0</v>
      </c>
      <c r="AH17" s="666"/>
      <c r="AI17" s="899"/>
      <c r="AJ17" s="887" t="s">
        <v>805</v>
      </c>
      <c r="AK17" s="906">
        <v>0</v>
      </c>
      <c r="AL17" s="687">
        <f>VLOOKUP(AJ17,Düngemittel!$B$6:$E$64,2,FALSE)*(VLOOKUP(AJ17,Düngemittel!$B$6:$E$64,3,FALSE))/100*AK17</f>
        <v>0</v>
      </c>
      <c r="AM17" s="687">
        <f>VLOOKUP(AJ17,Düngemittel!$B$6:$E$64,2,FALSE)*AK17</f>
        <v>0</v>
      </c>
      <c r="AN17" s="687">
        <f>VLOOKUP(AJ17,Düngemittel!$B$6:$E$64,4,FALSE)*AK17</f>
        <v>0</v>
      </c>
      <c r="AO17" s="666"/>
      <c r="AP17" s="853">
        <f t="shared" si="11"/>
        <v>0</v>
      </c>
      <c r="AQ17" s="308">
        <f t="shared" si="12"/>
        <v>0</v>
      </c>
      <c r="AR17" s="853">
        <f t="shared" si="13"/>
        <v>0</v>
      </c>
      <c r="AS17" s="790">
        <f t="shared" si="14"/>
        <v>0</v>
      </c>
      <c r="AT17" s="308">
        <f t="shared" si="15"/>
        <v>0</v>
      </c>
      <c r="AU17" s="786"/>
      <c r="AV17" s="853">
        <f t="shared" si="16"/>
        <v>0</v>
      </c>
      <c r="AW17" s="853">
        <f t="shared" si="17"/>
        <v>0</v>
      </c>
      <c r="AX17" s="853">
        <f t="shared" si="18"/>
        <v>0</v>
      </c>
      <c r="AY17" s="853">
        <f t="shared" si="19"/>
        <v>0</v>
      </c>
      <c r="AZ17" s="853">
        <f t="shared" si="20"/>
        <v>0</v>
      </c>
      <c r="BA17" s="351">
        <f t="shared" si="9"/>
        <v>0</v>
      </c>
      <c r="BB17" s="399">
        <f t="shared" si="10"/>
        <v>40</v>
      </c>
      <c r="BC17" s="3"/>
      <c r="BD17" s="80" t="s">
        <v>569</v>
      </c>
      <c r="BE17" s="80">
        <v>0</v>
      </c>
      <c r="BJ17" s="400" t="s">
        <v>787</v>
      </c>
      <c r="BK17" s="80">
        <v>-10</v>
      </c>
    </row>
    <row r="18" spans="1:63" ht="28.5" customHeight="1" x14ac:dyDescent="0.25">
      <c r="A18" s="342">
        <v>9</v>
      </c>
      <c r="B18" s="1222">
        <v>0</v>
      </c>
      <c r="C18" s="1494"/>
      <c r="D18" s="1028" t="s">
        <v>578</v>
      </c>
      <c r="E18" s="1025">
        <f t="shared" si="0"/>
        <v>0</v>
      </c>
      <c r="F18" s="645" t="s">
        <v>567</v>
      </c>
      <c r="G18" s="436">
        <f t="shared" si="1"/>
        <v>0</v>
      </c>
      <c r="H18" s="437" t="s">
        <v>299</v>
      </c>
      <c r="I18" s="438">
        <f t="shared" si="2"/>
        <v>0</v>
      </c>
      <c r="J18" s="439" t="s">
        <v>559</v>
      </c>
      <c r="K18" s="394" t="s">
        <v>562</v>
      </c>
      <c r="L18" s="436">
        <f t="shared" si="3"/>
        <v>0</v>
      </c>
      <c r="M18" s="1023"/>
      <c r="N18" s="440">
        <f t="shared" si="4"/>
        <v>40</v>
      </c>
      <c r="O18" s="504">
        <f t="shared" si="5"/>
        <v>0</v>
      </c>
      <c r="P18" s="509">
        <v>10</v>
      </c>
      <c r="Q18" s="507">
        <f t="shared" si="6"/>
        <v>0</v>
      </c>
      <c r="R18" s="692"/>
      <c r="S18" s="312">
        <f t="shared" si="7"/>
        <v>9</v>
      </c>
      <c r="T18" s="668"/>
      <c r="U18" s="899"/>
      <c r="V18" s="887" t="s">
        <v>805</v>
      </c>
      <c r="W18" s="906">
        <v>0</v>
      </c>
      <c r="X18" s="687">
        <f>VLOOKUP(V18,Düngemittel!$B$6:$E$64,2,FALSE)*(VLOOKUP(V18,Düngemittel!$B$6:$E$64,3,FALSE))/100*W18</f>
        <v>0</v>
      </c>
      <c r="Y18" s="687">
        <f>VLOOKUP(V18,Düngemittel!$B$6:$E$64,2,FALSE)*W18</f>
        <v>0</v>
      </c>
      <c r="Z18" s="687">
        <f>VLOOKUP(V18,Düngemittel!$B$6:$E$64,4,FALSE)*W18</f>
        <v>0</v>
      </c>
      <c r="AA18" s="668"/>
      <c r="AB18" s="899"/>
      <c r="AC18" s="887" t="s">
        <v>805</v>
      </c>
      <c r="AD18" s="906">
        <v>0</v>
      </c>
      <c r="AE18" s="687">
        <f>VLOOKUP(AC18,Düngemittel!$B$6:$E$64,2,FALSE)*(VLOOKUP(AC18,Düngemittel!$B$6:$E$64,3,FALSE))/100*AD18</f>
        <v>0</v>
      </c>
      <c r="AF18" s="687">
        <f>VLOOKUP(AC18,Düngemittel!$B$6:$E$64,2,FALSE)*AD18</f>
        <v>0</v>
      </c>
      <c r="AG18" s="687">
        <f>VLOOKUP(AC18,Düngemittel!$B$6:$E$64,4,FALSE)*AD18</f>
        <v>0</v>
      </c>
      <c r="AH18" s="666"/>
      <c r="AI18" s="899"/>
      <c r="AJ18" s="887" t="s">
        <v>805</v>
      </c>
      <c r="AK18" s="906">
        <v>0</v>
      </c>
      <c r="AL18" s="687">
        <f>VLOOKUP(AJ18,Düngemittel!$B$6:$E$64,2,FALSE)*(VLOOKUP(AJ18,Düngemittel!$B$6:$E$64,3,FALSE))/100*AK18</f>
        <v>0</v>
      </c>
      <c r="AM18" s="687">
        <f>VLOOKUP(AJ18,Düngemittel!$B$6:$E$64,2,FALSE)*AK18</f>
        <v>0</v>
      </c>
      <c r="AN18" s="687">
        <f>VLOOKUP(AJ18,Düngemittel!$B$6:$E$64,4,FALSE)*AK18</f>
        <v>0</v>
      </c>
      <c r="AO18" s="666"/>
      <c r="AP18" s="853">
        <f t="shared" si="11"/>
        <v>0</v>
      </c>
      <c r="AQ18" s="308">
        <f t="shared" si="12"/>
        <v>0</v>
      </c>
      <c r="AR18" s="853">
        <f t="shared" si="13"/>
        <v>0</v>
      </c>
      <c r="AS18" s="790">
        <f t="shared" si="14"/>
        <v>0</v>
      </c>
      <c r="AT18" s="308">
        <f t="shared" si="15"/>
        <v>0</v>
      </c>
      <c r="AU18" s="786"/>
      <c r="AV18" s="853">
        <f t="shared" si="16"/>
        <v>0</v>
      </c>
      <c r="AW18" s="853">
        <f t="shared" si="17"/>
        <v>0</v>
      </c>
      <c r="AX18" s="853">
        <f t="shared" si="18"/>
        <v>0</v>
      </c>
      <c r="AY18" s="853">
        <f t="shared" si="19"/>
        <v>0</v>
      </c>
      <c r="AZ18" s="853">
        <f t="shared" si="20"/>
        <v>0</v>
      </c>
      <c r="BA18" s="351">
        <f t="shared" si="9"/>
        <v>0</v>
      </c>
      <c r="BB18" s="399">
        <f t="shared" si="10"/>
        <v>40</v>
      </c>
      <c r="BC18" s="3"/>
      <c r="BD18" s="80" t="s">
        <v>706</v>
      </c>
      <c r="BE18" s="80">
        <v>-40</v>
      </c>
      <c r="BJ18" s="400" t="s">
        <v>789</v>
      </c>
      <c r="BK18" s="80">
        <v>-25</v>
      </c>
    </row>
    <row r="19" spans="1:63" ht="28.5" customHeight="1" x14ac:dyDescent="0.25">
      <c r="A19" s="342">
        <v>10</v>
      </c>
      <c r="B19" s="1222">
        <v>0</v>
      </c>
      <c r="C19" s="1494"/>
      <c r="D19" s="1028" t="s">
        <v>578</v>
      </c>
      <c r="E19" s="1025">
        <f t="shared" si="0"/>
        <v>0</v>
      </c>
      <c r="F19" s="645" t="s">
        <v>567</v>
      </c>
      <c r="G19" s="436">
        <f t="shared" si="1"/>
        <v>0</v>
      </c>
      <c r="H19" s="437" t="s">
        <v>299</v>
      </c>
      <c r="I19" s="438">
        <f t="shared" si="2"/>
        <v>0</v>
      </c>
      <c r="J19" s="439" t="s">
        <v>559</v>
      </c>
      <c r="K19" s="394" t="s">
        <v>562</v>
      </c>
      <c r="L19" s="436">
        <f t="shared" si="3"/>
        <v>0</v>
      </c>
      <c r="M19" s="1023"/>
      <c r="N19" s="440">
        <f t="shared" si="4"/>
        <v>40</v>
      </c>
      <c r="O19" s="504">
        <f t="shared" si="5"/>
        <v>0</v>
      </c>
      <c r="P19" s="509">
        <v>10</v>
      </c>
      <c r="Q19" s="507">
        <f t="shared" si="6"/>
        <v>0</v>
      </c>
      <c r="R19" s="692"/>
      <c r="S19" s="312">
        <f t="shared" si="7"/>
        <v>10</v>
      </c>
      <c r="T19" s="668"/>
      <c r="U19" s="899"/>
      <c r="V19" s="887" t="s">
        <v>805</v>
      </c>
      <c r="W19" s="906">
        <v>0</v>
      </c>
      <c r="X19" s="687">
        <f>VLOOKUP(V19,Düngemittel!$B$6:$E$64,2,FALSE)*(VLOOKUP(V19,Düngemittel!$B$6:$E$64,3,FALSE))/100*W19</f>
        <v>0</v>
      </c>
      <c r="Y19" s="687">
        <f>VLOOKUP(V19,Düngemittel!$B$6:$E$64,2,FALSE)*W19</f>
        <v>0</v>
      </c>
      <c r="Z19" s="687">
        <f>VLOOKUP(V19,Düngemittel!$B$6:$E$64,4,FALSE)*W19</f>
        <v>0</v>
      </c>
      <c r="AA19" s="668"/>
      <c r="AB19" s="899"/>
      <c r="AC19" s="887" t="s">
        <v>805</v>
      </c>
      <c r="AD19" s="906">
        <v>0</v>
      </c>
      <c r="AE19" s="687">
        <f>VLOOKUP(AC19,Düngemittel!$B$6:$E$64,2,FALSE)*(VLOOKUP(AC19,Düngemittel!$B$6:$E$64,3,FALSE))/100*AD19</f>
        <v>0</v>
      </c>
      <c r="AF19" s="687">
        <f>VLOOKUP(AC19,Düngemittel!$B$6:$E$64,2,FALSE)*AD19</f>
        <v>0</v>
      </c>
      <c r="AG19" s="687">
        <f>VLOOKUP(AC19,Düngemittel!$B$6:$E$64,4,FALSE)*AD19</f>
        <v>0</v>
      </c>
      <c r="AH19" s="666"/>
      <c r="AI19" s="899"/>
      <c r="AJ19" s="887" t="s">
        <v>805</v>
      </c>
      <c r="AK19" s="906">
        <v>0</v>
      </c>
      <c r="AL19" s="687">
        <f>VLOOKUP(AJ19,Düngemittel!$B$6:$E$64,2,FALSE)*(VLOOKUP(AJ19,Düngemittel!$B$6:$E$64,3,FALSE))/100*AK19</f>
        <v>0</v>
      </c>
      <c r="AM19" s="687">
        <f>VLOOKUP(AJ19,Düngemittel!$B$6:$E$64,2,FALSE)*AK19</f>
        <v>0</v>
      </c>
      <c r="AN19" s="687">
        <f>VLOOKUP(AJ19,Düngemittel!$B$6:$E$64,4,FALSE)*AK19</f>
        <v>0</v>
      </c>
      <c r="AO19" s="666"/>
      <c r="AP19" s="853">
        <f t="shared" si="11"/>
        <v>0</v>
      </c>
      <c r="AQ19" s="308">
        <f t="shared" si="12"/>
        <v>0</v>
      </c>
      <c r="AR19" s="853">
        <f t="shared" si="13"/>
        <v>0</v>
      </c>
      <c r="AS19" s="790">
        <f t="shared" si="14"/>
        <v>0</v>
      </c>
      <c r="AT19" s="308">
        <f t="shared" si="15"/>
        <v>0</v>
      </c>
      <c r="AU19" s="786"/>
      <c r="AV19" s="853">
        <f t="shared" si="16"/>
        <v>0</v>
      </c>
      <c r="AW19" s="853">
        <f t="shared" si="17"/>
        <v>0</v>
      </c>
      <c r="AX19" s="853">
        <f t="shared" si="18"/>
        <v>0</v>
      </c>
      <c r="AY19" s="853">
        <f t="shared" si="19"/>
        <v>0</v>
      </c>
      <c r="AZ19" s="853">
        <f t="shared" si="20"/>
        <v>0</v>
      </c>
      <c r="BA19" s="351">
        <f t="shared" si="9"/>
        <v>0</v>
      </c>
      <c r="BB19" s="399">
        <f t="shared" si="10"/>
        <v>40</v>
      </c>
      <c r="BC19" s="3"/>
      <c r="BD19" s="80" t="s">
        <v>778</v>
      </c>
      <c r="BE19" s="80">
        <v>0</v>
      </c>
      <c r="BJ19" s="400" t="s">
        <v>788</v>
      </c>
      <c r="BK19" s="80">
        <v>-50</v>
      </c>
    </row>
    <row r="20" spans="1:63" ht="28.5" customHeight="1" x14ac:dyDescent="0.25">
      <c r="A20" s="342">
        <v>11</v>
      </c>
      <c r="B20" s="1222">
        <v>0</v>
      </c>
      <c r="C20" s="1494"/>
      <c r="D20" s="1028" t="s">
        <v>578</v>
      </c>
      <c r="E20" s="1025">
        <f t="shared" si="0"/>
        <v>0</v>
      </c>
      <c r="F20" s="645" t="s">
        <v>567</v>
      </c>
      <c r="G20" s="436">
        <f t="shared" si="1"/>
        <v>0</v>
      </c>
      <c r="H20" s="437" t="s">
        <v>299</v>
      </c>
      <c r="I20" s="438">
        <f t="shared" si="2"/>
        <v>0</v>
      </c>
      <c r="J20" s="439" t="s">
        <v>559</v>
      </c>
      <c r="K20" s="394" t="s">
        <v>562</v>
      </c>
      <c r="L20" s="436">
        <f t="shared" si="3"/>
        <v>0</v>
      </c>
      <c r="M20" s="1023"/>
      <c r="N20" s="440">
        <f t="shared" si="4"/>
        <v>40</v>
      </c>
      <c r="O20" s="504">
        <f t="shared" si="5"/>
        <v>0</v>
      </c>
      <c r="P20" s="509">
        <v>10</v>
      </c>
      <c r="Q20" s="507">
        <f t="shared" si="6"/>
        <v>0</v>
      </c>
      <c r="R20" s="692"/>
      <c r="S20" s="312">
        <f t="shared" si="7"/>
        <v>11</v>
      </c>
      <c r="T20" s="668"/>
      <c r="U20" s="899"/>
      <c r="V20" s="887" t="s">
        <v>805</v>
      </c>
      <c r="W20" s="906">
        <v>0</v>
      </c>
      <c r="X20" s="687">
        <f>VLOOKUP(V20,Düngemittel!$B$6:$E$64,2,FALSE)*(VLOOKUP(V20,Düngemittel!$B$6:$E$64,3,FALSE))/100*W20</f>
        <v>0</v>
      </c>
      <c r="Y20" s="687">
        <f>VLOOKUP(V20,Düngemittel!$B$6:$E$64,2,FALSE)*W20</f>
        <v>0</v>
      </c>
      <c r="Z20" s="687">
        <f>VLOOKUP(V20,Düngemittel!$B$6:$E$64,4,FALSE)*W20</f>
        <v>0</v>
      </c>
      <c r="AA20" s="668"/>
      <c r="AB20" s="899"/>
      <c r="AC20" s="887" t="s">
        <v>805</v>
      </c>
      <c r="AD20" s="906">
        <v>0</v>
      </c>
      <c r="AE20" s="687">
        <f>VLOOKUP(AC20,Düngemittel!$B$6:$E$64,2,FALSE)*(VLOOKUP(AC20,Düngemittel!$B$6:$E$64,3,FALSE))/100*AD20</f>
        <v>0</v>
      </c>
      <c r="AF20" s="687">
        <f>VLOOKUP(AC20,Düngemittel!$B$6:$E$64,2,FALSE)*AD20</f>
        <v>0</v>
      </c>
      <c r="AG20" s="687">
        <f>VLOOKUP(AC20,Düngemittel!$B$6:$E$64,4,FALSE)*AD20</f>
        <v>0</v>
      </c>
      <c r="AH20" s="666"/>
      <c r="AI20" s="899"/>
      <c r="AJ20" s="887" t="s">
        <v>805</v>
      </c>
      <c r="AK20" s="906">
        <v>0</v>
      </c>
      <c r="AL20" s="687">
        <f>VLOOKUP(AJ20,Düngemittel!$B$6:$E$64,2,FALSE)*(VLOOKUP(AJ20,Düngemittel!$B$6:$E$64,3,FALSE))/100*AK20</f>
        <v>0</v>
      </c>
      <c r="AM20" s="687">
        <f>VLOOKUP(AJ20,Düngemittel!$B$6:$E$64,2,FALSE)*AK20</f>
        <v>0</v>
      </c>
      <c r="AN20" s="687">
        <f>VLOOKUP(AJ20,Düngemittel!$B$6:$E$64,4,FALSE)*AK20</f>
        <v>0</v>
      </c>
      <c r="AO20" s="666"/>
      <c r="AP20" s="853">
        <f t="shared" si="11"/>
        <v>0</v>
      </c>
      <c r="AQ20" s="308">
        <f t="shared" si="12"/>
        <v>0</v>
      </c>
      <c r="AR20" s="853">
        <f t="shared" si="13"/>
        <v>0</v>
      </c>
      <c r="AS20" s="790">
        <f t="shared" si="14"/>
        <v>0</v>
      </c>
      <c r="AT20" s="308">
        <f t="shared" si="15"/>
        <v>0</v>
      </c>
      <c r="AU20" s="786"/>
      <c r="AV20" s="853">
        <f t="shared" si="16"/>
        <v>0</v>
      </c>
      <c r="AW20" s="853">
        <f t="shared" si="17"/>
        <v>0</v>
      </c>
      <c r="AX20" s="853">
        <f t="shared" si="18"/>
        <v>0</v>
      </c>
      <c r="AY20" s="853">
        <f t="shared" si="19"/>
        <v>0</v>
      </c>
      <c r="AZ20" s="853">
        <f t="shared" si="20"/>
        <v>0</v>
      </c>
      <c r="BA20" s="351">
        <f t="shared" si="9"/>
        <v>0</v>
      </c>
      <c r="BB20" s="399">
        <f t="shared" si="10"/>
        <v>40</v>
      </c>
      <c r="BC20" s="3"/>
      <c r="BD20" s="80" t="s">
        <v>779</v>
      </c>
      <c r="BE20" s="80">
        <v>-40</v>
      </c>
      <c r="BJ20" s="400" t="s">
        <v>558</v>
      </c>
      <c r="BK20" s="80">
        <v>-10</v>
      </c>
    </row>
    <row r="21" spans="1:63" ht="28.5" customHeight="1" x14ac:dyDescent="0.25">
      <c r="A21" s="342">
        <v>12</v>
      </c>
      <c r="B21" s="1222">
        <v>0</v>
      </c>
      <c r="C21" s="1494"/>
      <c r="D21" s="1028" t="s">
        <v>578</v>
      </c>
      <c r="E21" s="1025">
        <f t="shared" si="0"/>
        <v>0</v>
      </c>
      <c r="F21" s="645" t="s">
        <v>567</v>
      </c>
      <c r="G21" s="436">
        <f t="shared" si="1"/>
        <v>0</v>
      </c>
      <c r="H21" s="437" t="s">
        <v>299</v>
      </c>
      <c r="I21" s="438">
        <f t="shared" si="2"/>
        <v>0</v>
      </c>
      <c r="J21" s="439" t="s">
        <v>559</v>
      </c>
      <c r="K21" s="394" t="s">
        <v>562</v>
      </c>
      <c r="L21" s="436">
        <f t="shared" si="3"/>
        <v>0</v>
      </c>
      <c r="M21" s="1023"/>
      <c r="N21" s="440">
        <f t="shared" si="4"/>
        <v>40</v>
      </c>
      <c r="O21" s="504">
        <f t="shared" si="5"/>
        <v>0</v>
      </c>
      <c r="P21" s="509">
        <v>10</v>
      </c>
      <c r="Q21" s="507">
        <f t="shared" si="6"/>
        <v>0</v>
      </c>
      <c r="R21" s="692"/>
      <c r="S21" s="312">
        <f t="shared" si="7"/>
        <v>12</v>
      </c>
      <c r="T21" s="668"/>
      <c r="U21" s="899"/>
      <c r="V21" s="887" t="s">
        <v>805</v>
      </c>
      <c r="W21" s="906">
        <v>0</v>
      </c>
      <c r="X21" s="687">
        <f>VLOOKUP(V21,Düngemittel!$B$6:$E$64,2,FALSE)*(VLOOKUP(V21,Düngemittel!$B$6:$E$64,3,FALSE))/100*W21</f>
        <v>0</v>
      </c>
      <c r="Y21" s="687">
        <f>VLOOKUP(V21,Düngemittel!$B$6:$E$64,2,FALSE)*W21</f>
        <v>0</v>
      </c>
      <c r="Z21" s="687">
        <f>VLOOKUP(V21,Düngemittel!$B$6:$E$64,4,FALSE)*W21</f>
        <v>0</v>
      </c>
      <c r="AA21" s="668"/>
      <c r="AB21" s="899"/>
      <c r="AC21" s="887" t="s">
        <v>805</v>
      </c>
      <c r="AD21" s="906">
        <v>0</v>
      </c>
      <c r="AE21" s="687">
        <f>VLOOKUP(AC21,Düngemittel!$B$6:$E$64,2,FALSE)*(VLOOKUP(AC21,Düngemittel!$B$6:$E$64,3,FALSE))/100*AD21</f>
        <v>0</v>
      </c>
      <c r="AF21" s="687">
        <f>VLOOKUP(AC21,Düngemittel!$B$6:$E$64,2,FALSE)*AD21</f>
        <v>0</v>
      </c>
      <c r="AG21" s="687">
        <f>VLOOKUP(AC21,Düngemittel!$B$6:$E$64,4,FALSE)*AD21</f>
        <v>0</v>
      </c>
      <c r="AH21" s="666"/>
      <c r="AI21" s="899"/>
      <c r="AJ21" s="887" t="s">
        <v>805</v>
      </c>
      <c r="AK21" s="906">
        <v>0</v>
      </c>
      <c r="AL21" s="687">
        <f>VLOOKUP(AJ21,Düngemittel!$B$6:$E$64,2,FALSE)*(VLOOKUP(AJ21,Düngemittel!$B$6:$E$64,3,FALSE))/100*AK21</f>
        <v>0</v>
      </c>
      <c r="AM21" s="687">
        <f>VLOOKUP(AJ21,Düngemittel!$B$6:$E$64,2,FALSE)*AK21</f>
        <v>0</v>
      </c>
      <c r="AN21" s="687">
        <f>VLOOKUP(AJ21,Düngemittel!$B$6:$E$64,4,FALSE)*AK21</f>
        <v>0</v>
      </c>
      <c r="AO21" s="666"/>
      <c r="AP21" s="853">
        <f t="shared" si="11"/>
        <v>0</v>
      </c>
      <c r="AQ21" s="308">
        <f t="shared" si="12"/>
        <v>0</v>
      </c>
      <c r="AR21" s="853">
        <f t="shared" si="13"/>
        <v>0</v>
      </c>
      <c r="AS21" s="790">
        <f t="shared" si="14"/>
        <v>0</v>
      </c>
      <c r="AT21" s="308">
        <f t="shared" si="15"/>
        <v>0</v>
      </c>
      <c r="AU21" s="786"/>
      <c r="AV21" s="853">
        <f t="shared" si="16"/>
        <v>0</v>
      </c>
      <c r="AW21" s="853">
        <f t="shared" si="17"/>
        <v>0</v>
      </c>
      <c r="AX21" s="853">
        <f t="shared" si="18"/>
        <v>0</v>
      </c>
      <c r="AY21" s="853">
        <f t="shared" si="19"/>
        <v>0</v>
      </c>
      <c r="AZ21" s="853">
        <f t="shared" si="20"/>
        <v>0</v>
      </c>
      <c r="BA21" s="351">
        <f t="shared" si="9"/>
        <v>0</v>
      </c>
      <c r="BB21" s="399">
        <f t="shared" si="10"/>
        <v>40</v>
      </c>
      <c r="BC21" s="3"/>
      <c r="BJ21" s="80" t="s">
        <v>790</v>
      </c>
      <c r="BK21" s="80">
        <v>-10</v>
      </c>
    </row>
    <row r="22" spans="1:63" ht="28.5" customHeight="1" x14ac:dyDescent="0.25">
      <c r="A22" s="342">
        <v>13</v>
      </c>
      <c r="B22" s="1222">
        <v>0</v>
      </c>
      <c r="C22" s="1494"/>
      <c r="D22" s="1028" t="s">
        <v>578</v>
      </c>
      <c r="E22" s="1025">
        <f t="shared" si="0"/>
        <v>0</v>
      </c>
      <c r="F22" s="645" t="s">
        <v>567</v>
      </c>
      <c r="G22" s="436">
        <f t="shared" si="1"/>
        <v>0</v>
      </c>
      <c r="H22" s="437" t="s">
        <v>299</v>
      </c>
      <c r="I22" s="438">
        <f t="shared" si="2"/>
        <v>0</v>
      </c>
      <c r="J22" s="439" t="s">
        <v>559</v>
      </c>
      <c r="K22" s="394" t="s">
        <v>561</v>
      </c>
      <c r="L22" s="436">
        <f t="shared" si="3"/>
        <v>0</v>
      </c>
      <c r="M22" s="1023"/>
      <c r="N22" s="440">
        <f t="shared" si="4"/>
        <v>40</v>
      </c>
      <c r="O22" s="504">
        <f t="shared" si="5"/>
        <v>0</v>
      </c>
      <c r="P22" s="509">
        <v>10</v>
      </c>
      <c r="Q22" s="507">
        <f t="shared" si="6"/>
        <v>0</v>
      </c>
      <c r="R22" s="692"/>
      <c r="S22" s="312">
        <f t="shared" si="7"/>
        <v>13</v>
      </c>
      <c r="T22" s="668"/>
      <c r="U22" s="899"/>
      <c r="V22" s="887" t="s">
        <v>805</v>
      </c>
      <c r="W22" s="906">
        <v>0</v>
      </c>
      <c r="X22" s="687">
        <f>VLOOKUP(V22,Düngemittel!$B$6:$E$64,2,FALSE)*(VLOOKUP(V22,Düngemittel!$B$6:$E$64,3,FALSE))/100*W22</f>
        <v>0</v>
      </c>
      <c r="Y22" s="687">
        <f>VLOOKUP(V22,Düngemittel!$B$6:$E$64,2,FALSE)*W22</f>
        <v>0</v>
      </c>
      <c r="Z22" s="687">
        <f>VLOOKUP(V22,Düngemittel!$B$6:$E$64,4,FALSE)*W22</f>
        <v>0</v>
      </c>
      <c r="AA22" s="668"/>
      <c r="AB22" s="899"/>
      <c r="AC22" s="887" t="s">
        <v>805</v>
      </c>
      <c r="AD22" s="906">
        <v>0</v>
      </c>
      <c r="AE22" s="687">
        <f>VLOOKUP(AC22,Düngemittel!$B$6:$E$64,2,FALSE)*(VLOOKUP(AC22,Düngemittel!$B$6:$E$64,3,FALSE))/100*AD22</f>
        <v>0</v>
      </c>
      <c r="AF22" s="687">
        <f>VLOOKUP(AC22,Düngemittel!$B$6:$E$64,2,FALSE)*AD22</f>
        <v>0</v>
      </c>
      <c r="AG22" s="687">
        <f>VLOOKUP(AC22,Düngemittel!$B$6:$E$64,4,FALSE)*AD22</f>
        <v>0</v>
      </c>
      <c r="AH22" s="666"/>
      <c r="AI22" s="899"/>
      <c r="AJ22" s="887" t="s">
        <v>805</v>
      </c>
      <c r="AK22" s="906">
        <v>0</v>
      </c>
      <c r="AL22" s="687">
        <f>VLOOKUP(AJ22,Düngemittel!$B$6:$E$64,2,FALSE)*(VLOOKUP(AJ22,Düngemittel!$B$6:$E$64,3,FALSE))/100*AK22</f>
        <v>0</v>
      </c>
      <c r="AM22" s="687">
        <f>VLOOKUP(AJ22,Düngemittel!$B$6:$E$64,2,FALSE)*AK22</f>
        <v>0</v>
      </c>
      <c r="AN22" s="687">
        <f>VLOOKUP(AJ22,Düngemittel!$B$6:$E$64,4,FALSE)*AK22</f>
        <v>0</v>
      </c>
      <c r="AO22" s="666"/>
      <c r="AP22" s="853">
        <f t="shared" si="11"/>
        <v>0</v>
      </c>
      <c r="AQ22" s="308">
        <f t="shared" si="12"/>
        <v>0</v>
      </c>
      <c r="AR22" s="853">
        <f t="shared" si="13"/>
        <v>0</v>
      </c>
      <c r="AS22" s="790">
        <f t="shared" si="14"/>
        <v>0</v>
      </c>
      <c r="AT22" s="308">
        <f t="shared" si="15"/>
        <v>0</v>
      </c>
      <c r="AU22" s="786"/>
      <c r="AV22" s="853">
        <f t="shared" si="16"/>
        <v>0</v>
      </c>
      <c r="AW22" s="853">
        <f t="shared" si="17"/>
        <v>0</v>
      </c>
      <c r="AX22" s="853">
        <f t="shared" si="18"/>
        <v>0</v>
      </c>
      <c r="AY22" s="853">
        <f t="shared" si="19"/>
        <v>0</v>
      </c>
      <c r="AZ22" s="853">
        <f t="shared" si="20"/>
        <v>0</v>
      </c>
      <c r="BA22" s="351">
        <f t="shared" si="9"/>
        <v>0</v>
      </c>
      <c r="BB22" s="399">
        <f t="shared" si="10"/>
        <v>40</v>
      </c>
      <c r="BC22" s="3"/>
      <c r="BJ22" s="80" t="s">
        <v>559</v>
      </c>
      <c r="BK22" s="80">
        <v>0</v>
      </c>
    </row>
    <row r="23" spans="1:63" ht="28.5" customHeight="1" x14ac:dyDescent="0.25">
      <c r="A23" s="342">
        <v>14</v>
      </c>
      <c r="B23" s="1222">
        <v>0</v>
      </c>
      <c r="C23" s="1494"/>
      <c r="D23" s="1028" t="s">
        <v>578</v>
      </c>
      <c r="E23" s="1025">
        <f t="shared" si="0"/>
        <v>0</v>
      </c>
      <c r="F23" s="645" t="s">
        <v>567</v>
      </c>
      <c r="G23" s="436">
        <f t="shared" si="1"/>
        <v>0</v>
      </c>
      <c r="H23" s="437" t="s">
        <v>299</v>
      </c>
      <c r="I23" s="438">
        <f t="shared" si="2"/>
        <v>0</v>
      </c>
      <c r="J23" s="439" t="s">
        <v>559</v>
      </c>
      <c r="K23" s="394" t="s">
        <v>561</v>
      </c>
      <c r="L23" s="436">
        <f t="shared" si="3"/>
        <v>0</v>
      </c>
      <c r="M23" s="1023"/>
      <c r="N23" s="440">
        <f t="shared" si="4"/>
        <v>40</v>
      </c>
      <c r="O23" s="504">
        <f t="shared" si="5"/>
        <v>0</v>
      </c>
      <c r="P23" s="509">
        <v>10</v>
      </c>
      <c r="Q23" s="507">
        <f t="shared" si="6"/>
        <v>0</v>
      </c>
      <c r="R23" s="692"/>
      <c r="S23" s="312">
        <f t="shared" si="7"/>
        <v>14</v>
      </c>
      <c r="T23" s="668"/>
      <c r="U23" s="899"/>
      <c r="V23" s="887" t="s">
        <v>805</v>
      </c>
      <c r="W23" s="906">
        <v>0</v>
      </c>
      <c r="X23" s="687">
        <f>VLOOKUP(V23,Düngemittel!$B$6:$E$64,2,FALSE)*(VLOOKUP(V23,Düngemittel!$B$6:$E$64,3,FALSE))/100*W23</f>
        <v>0</v>
      </c>
      <c r="Y23" s="687">
        <f>VLOOKUP(V23,Düngemittel!$B$6:$E$64,2,FALSE)*W23</f>
        <v>0</v>
      </c>
      <c r="Z23" s="687">
        <f>VLOOKUP(V23,Düngemittel!$B$6:$E$64,4,FALSE)*W23</f>
        <v>0</v>
      </c>
      <c r="AA23" s="668"/>
      <c r="AB23" s="899"/>
      <c r="AC23" s="887" t="s">
        <v>805</v>
      </c>
      <c r="AD23" s="906">
        <v>0</v>
      </c>
      <c r="AE23" s="687">
        <f>VLOOKUP(AC23,Düngemittel!$B$6:$E$64,2,FALSE)*(VLOOKUP(AC23,Düngemittel!$B$6:$E$64,3,FALSE))/100*AD23</f>
        <v>0</v>
      </c>
      <c r="AF23" s="687">
        <f>VLOOKUP(AC23,Düngemittel!$B$6:$E$64,2,FALSE)*AD23</f>
        <v>0</v>
      </c>
      <c r="AG23" s="687">
        <f>VLOOKUP(AC23,Düngemittel!$B$6:$E$64,4,FALSE)*AD23</f>
        <v>0</v>
      </c>
      <c r="AH23" s="666"/>
      <c r="AI23" s="899"/>
      <c r="AJ23" s="887" t="s">
        <v>805</v>
      </c>
      <c r="AK23" s="906">
        <v>0</v>
      </c>
      <c r="AL23" s="687">
        <f>VLOOKUP(AJ23,Düngemittel!$B$6:$E$64,2,FALSE)*(VLOOKUP(AJ23,Düngemittel!$B$6:$E$64,3,FALSE))/100*AK23</f>
        <v>0</v>
      </c>
      <c r="AM23" s="687">
        <f>VLOOKUP(AJ23,Düngemittel!$B$6:$E$64,2,FALSE)*AK23</f>
        <v>0</v>
      </c>
      <c r="AN23" s="687">
        <f>VLOOKUP(AJ23,Düngemittel!$B$6:$E$64,4,FALSE)*AK23</f>
        <v>0</v>
      </c>
      <c r="AO23" s="666"/>
      <c r="AP23" s="853">
        <f t="shared" si="11"/>
        <v>0</v>
      </c>
      <c r="AQ23" s="308">
        <f t="shared" si="12"/>
        <v>0</v>
      </c>
      <c r="AR23" s="853">
        <f t="shared" si="13"/>
        <v>0</v>
      </c>
      <c r="AS23" s="790">
        <f t="shared" si="14"/>
        <v>0</v>
      </c>
      <c r="AT23" s="308">
        <f t="shared" si="15"/>
        <v>0</v>
      </c>
      <c r="AU23" s="786"/>
      <c r="AV23" s="853">
        <f t="shared" si="16"/>
        <v>0</v>
      </c>
      <c r="AW23" s="853">
        <f t="shared" si="17"/>
        <v>0</v>
      </c>
      <c r="AX23" s="853">
        <f t="shared" si="18"/>
        <v>0</v>
      </c>
      <c r="AY23" s="853">
        <f t="shared" si="19"/>
        <v>0</v>
      </c>
      <c r="AZ23" s="853">
        <f t="shared" si="20"/>
        <v>0</v>
      </c>
      <c r="BA23" s="351">
        <f t="shared" si="9"/>
        <v>0</v>
      </c>
      <c r="BB23" s="399">
        <f t="shared" si="10"/>
        <v>40</v>
      </c>
      <c r="BC23" s="3"/>
      <c r="BJ23" s="400"/>
    </row>
    <row r="24" spans="1:63" ht="28.5" customHeight="1" x14ac:dyDescent="0.25">
      <c r="A24" s="342">
        <v>15</v>
      </c>
      <c r="B24" s="1222">
        <v>0</v>
      </c>
      <c r="C24" s="1494"/>
      <c r="D24" s="1028" t="s">
        <v>578</v>
      </c>
      <c r="E24" s="1025">
        <f t="shared" si="0"/>
        <v>0</v>
      </c>
      <c r="F24" s="645" t="s">
        <v>567</v>
      </c>
      <c r="G24" s="436">
        <f t="shared" si="1"/>
        <v>0</v>
      </c>
      <c r="H24" s="437" t="s">
        <v>299</v>
      </c>
      <c r="I24" s="438">
        <f t="shared" si="2"/>
        <v>0</v>
      </c>
      <c r="J24" s="439" t="s">
        <v>559</v>
      </c>
      <c r="K24" s="394" t="s">
        <v>561</v>
      </c>
      <c r="L24" s="436">
        <f t="shared" si="3"/>
        <v>0</v>
      </c>
      <c r="M24" s="1023"/>
      <c r="N24" s="440">
        <f t="shared" si="4"/>
        <v>40</v>
      </c>
      <c r="O24" s="504">
        <f t="shared" si="5"/>
        <v>0</v>
      </c>
      <c r="P24" s="509">
        <v>10</v>
      </c>
      <c r="Q24" s="507">
        <f t="shared" si="6"/>
        <v>0</v>
      </c>
      <c r="R24" s="692"/>
      <c r="S24" s="312">
        <f t="shared" si="7"/>
        <v>15</v>
      </c>
      <c r="T24" s="668"/>
      <c r="U24" s="899"/>
      <c r="V24" s="887" t="s">
        <v>805</v>
      </c>
      <c r="W24" s="906">
        <v>0</v>
      </c>
      <c r="X24" s="687">
        <f>VLOOKUP(V24,Düngemittel!$B$6:$E$64,2,FALSE)*(VLOOKUP(V24,Düngemittel!$B$6:$E$64,3,FALSE))/100*W24</f>
        <v>0</v>
      </c>
      <c r="Y24" s="687">
        <f>VLOOKUP(V24,Düngemittel!$B$6:$E$64,2,FALSE)*W24</f>
        <v>0</v>
      </c>
      <c r="Z24" s="687">
        <f>VLOOKUP(V24,Düngemittel!$B$6:$E$64,4,FALSE)*W24</f>
        <v>0</v>
      </c>
      <c r="AA24" s="668"/>
      <c r="AB24" s="899"/>
      <c r="AC24" s="887" t="s">
        <v>805</v>
      </c>
      <c r="AD24" s="906">
        <v>0</v>
      </c>
      <c r="AE24" s="687">
        <f>VLOOKUP(AC24,Düngemittel!$B$6:$E$64,2,FALSE)*(VLOOKUP(AC24,Düngemittel!$B$6:$E$64,3,FALSE))/100*AD24</f>
        <v>0</v>
      </c>
      <c r="AF24" s="687">
        <f>VLOOKUP(AC24,Düngemittel!$B$6:$E$64,2,FALSE)*AD24</f>
        <v>0</v>
      </c>
      <c r="AG24" s="687">
        <f>VLOOKUP(AC24,Düngemittel!$B$6:$E$64,4,FALSE)*AD24</f>
        <v>0</v>
      </c>
      <c r="AH24" s="666"/>
      <c r="AI24" s="899"/>
      <c r="AJ24" s="887" t="s">
        <v>805</v>
      </c>
      <c r="AK24" s="906">
        <v>0</v>
      </c>
      <c r="AL24" s="687">
        <f>VLOOKUP(AJ24,Düngemittel!$B$6:$E$64,2,FALSE)*(VLOOKUP(AJ24,Düngemittel!$B$6:$E$64,3,FALSE))/100*AK24</f>
        <v>0</v>
      </c>
      <c r="AM24" s="687">
        <f>VLOOKUP(AJ24,Düngemittel!$B$6:$E$64,2,FALSE)*AK24</f>
        <v>0</v>
      </c>
      <c r="AN24" s="687">
        <f>VLOOKUP(AJ24,Düngemittel!$B$6:$E$64,4,FALSE)*AK24</f>
        <v>0</v>
      </c>
      <c r="AO24" s="666"/>
      <c r="AP24" s="853">
        <f t="shared" si="11"/>
        <v>0</v>
      </c>
      <c r="AQ24" s="308">
        <f t="shared" si="12"/>
        <v>0</v>
      </c>
      <c r="AR24" s="853">
        <f t="shared" si="13"/>
        <v>0</v>
      </c>
      <c r="AS24" s="790">
        <f t="shared" si="14"/>
        <v>0</v>
      </c>
      <c r="AT24" s="308">
        <f t="shared" si="15"/>
        <v>0</v>
      </c>
      <c r="AU24" s="786"/>
      <c r="AV24" s="853">
        <f t="shared" si="16"/>
        <v>0</v>
      </c>
      <c r="AW24" s="853">
        <f t="shared" si="17"/>
        <v>0</v>
      </c>
      <c r="AX24" s="853">
        <f t="shared" si="18"/>
        <v>0</v>
      </c>
      <c r="AY24" s="853">
        <f t="shared" si="19"/>
        <v>0</v>
      </c>
      <c r="AZ24" s="853">
        <f t="shared" si="20"/>
        <v>0</v>
      </c>
      <c r="BA24" s="351">
        <f t="shared" si="9"/>
        <v>0</v>
      </c>
      <c r="BB24" s="399">
        <f t="shared" si="10"/>
        <v>40</v>
      </c>
      <c r="BC24" s="3"/>
      <c r="BJ24" s="400"/>
    </row>
    <row r="25" spans="1:63" ht="28.5" customHeight="1" x14ac:dyDescent="0.25">
      <c r="A25" s="342">
        <v>16</v>
      </c>
      <c r="B25" s="1222">
        <v>0</v>
      </c>
      <c r="C25" s="1494"/>
      <c r="D25" s="1028" t="s">
        <v>578</v>
      </c>
      <c r="E25" s="1025">
        <f t="shared" si="0"/>
        <v>0</v>
      </c>
      <c r="F25" s="645" t="s">
        <v>567</v>
      </c>
      <c r="G25" s="436">
        <f t="shared" si="1"/>
        <v>0</v>
      </c>
      <c r="H25" s="437" t="s">
        <v>299</v>
      </c>
      <c r="I25" s="438">
        <f t="shared" si="2"/>
        <v>0</v>
      </c>
      <c r="J25" s="439" t="s">
        <v>559</v>
      </c>
      <c r="K25" s="394" t="s">
        <v>561</v>
      </c>
      <c r="L25" s="436">
        <f t="shared" si="3"/>
        <v>0</v>
      </c>
      <c r="M25" s="1023"/>
      <c r="N25" s="440">
        <f t="shared" si="4"/>
        <v>40</v>
      </c>
      <c r="O25" s="504">
        <f t="shared" si="5"/>
        <v>0</v>
      </c>
      <c r="P25" s="509">
        <v>10</v>
      </c>
      <c r="Q25" s="507">
        <f t="shared" si="6"/>
        <v>0</v>
      </c>
      <c r="R25" s="692"/>
      <c r="S25" s="312">
        <f t="shared" si="7"/>
        <v>16</v>
      </c>
      <c r="T25" s="668"/>
      <c r="U25" s="899"/>
      <c r="V25" s="887" t="s">
        <v>805</v>
      </c>
      <c r="W25" s="906">
        <v>0</v>
      </c>
      <c r="X25" s="687">
        <f>VLOOKUP(V25,Düngemittel!$B$6:$E$64,2,FALSE)*(VLOOKUP(V25,Düngemittel!$B$6:$E$64,3,FALSE))/100*W25</f>
        <v>0</v>
      </c>
      <c r="Y25" s="687">
        <f>VLOOKUP(V25,Düngemittel!$B$6:$E$64,2,FALSE)*W25</f>
        <v>0</v>
      </c>
      <c r="Z25" s="687">
        <f>VLOOKUP(V25,Düngemittel!$B$6:$E$64,4,FALSE)*W25</f>
        <v>0</v>
      </c>
      <c r="AA25" s="668"/>
      <c r="AB25" s="899"/>
      <c r="AC25" s="887" t="s">
        <v>805</v>
      </c>
      <c r="AD25" s="906">
        <v>0</v>
      </c>
      <c r="AE25" s="687">
        <f>VLOOKUP(AC25,Düngemittel!$B$6:$E$64,2,FALSE)*(VLOOKUP(AC25,Düngemittel!$B$6:$E$64,3,FALSE))/100*AD25</f>
        <v>0</v>
      </c>
      <c r="AF25" s="687">
        <f>VLOOKUP(AC25,Düngemittel!$B$6:$E$64,2,FALSE)*AD25</f>
        <v>0</v>
      </c>
      <c r="AG25" s="687">
        <f>VLOOKUP(AC25,Düngemittel!$B$6:$E$64,4,FALSE)*AD25</f>
        <v>0</v>
      </c>
      <c r="AH25" s="666"/>
      <c r="AI25" s="899"/>
      <c r="AJ25" s="887" t="s">
        <v>805</v>
      </c>
      <c r="AK25" s="906">
        <v>0</v>
      </c>
      <c r="AL25" s="687">
        <f>VLOOKUP(AJ25,Düngemittel!$B$6:$E$64,2,FALSE)*(VLOOKUP(AJ25,Düngemittel!$B$6:$E$64,3,FALSE))/100*AK25</f>
        <v>0</v>
      </c>
      <c r="AM25" s="687">
        <f>VLOOKUP(AJ25,Düngemittel!$B$6:$E$64,2,FALSE)*AK25</f>
        <v>0</v>
      </c>
      <c r="AN25" s="687">
        <f>VLOOKUP(AJ25,Düngemittel!$B$6:$E$64,4,FALSE)*AK25</f>
        <v>0</v>
      </c>
      <c r="AO25" s="666"/>
      <c r="AP25" s="853">
        <f t="shared" si="11"/>
        <v>0</v>
      </c>
      <c r="AQ25" s="308">
        <f t="shared" si="12"/>
        <v>0</v>
      </c>
      <c r="AR25" s="853">
        <f t="shared" si="13"/>
        <v>0</v>
      </c>
      <c r="AS25" s="790">
        <f t="shared" si="14"/>
        <v>0</v>
      </c>
      <c r="AT25" s="308">
        <f t="shared" si="15"/>
        <v>0</v>
      </c>
      <c r="AU25" s="786"/>
      <c r="AV25" s="853">
        <f t="shared" si="16"/>
        <v>0</v>
      </c>
      <c r="AW25" s="853">
        <f t="shared" si="17"/>
        <v>0</v>
      </c>
      <c r="AX25" s="853">
        <f t="shared" si="18"/>
        <v>0</v>
      </c>
      <c r="AY25" s="853">
        <f t="shared" si="19"/>
        <v>0</v>
      </c>
      <c r="AZ25" s="853">
        <f t="shared" si="20"/>
        <v>0</v>
      </c>
      <c r="BA25" s="351">
        <f t="shared" si="9"/>
        <v>0</v>
      </c>
      <c r="BB25" s="399">
        <f t="shared" si="10"/>
        <v>40</v>
      </c>
      <c r="BC25" s="3"/>
    </row>
    <row r="26" spans="1:63" ht="28.5" customHeight="1" x14ac:dyDescent="0.25">
      <c r="A26" s="342">
        <v>17</v>
      </c>
      <c r="B26" s="1222">
        <v>0</v>
      </c>
      <c r="C26" s="1494"/>
      <c r="D26" s="1028" t="s">
        <v>578</v>
      </c>
      <c r="E26" s="1025">
        <f t="shared" si="0"/>
        <v>0</v>
      </c>
      <c r="F26" s="645" t="s">
        <v>567</v>
      </c>
      <c r="G26" s="436">
        <f t="shared" si="1"/>
        <v>0</v>
      </c>
      <c r="H26" s="437" t="s">
        <v>299</v>
      </c>
      <c r="I26" s="438">
        <f t="shared" si="2"/>
        <v>0</v>
      </c>
      <c r="J26" s="439" t="s">
        <v>559</v>
      </c>
      <c r="K26" s="394" t="s">
        <v>561</v>
      </c>
      <c r="L26" s="436">
        <f t="shared" si="3"/>
        <v>0</v>
      </c>
      <c r="M26" s="1023"/>
      <c r="N26" s="440">
        <f t="shared" si="4"/>
        <v>40</v>
      </c>
      <c r="O26" s="504">
        <f t="shared" si="5"/>
        <v>0</v>
      </c>
      <c r="P26" s="509">
        <v>10</v>
      </c>
      <c r="Q26" s="507">
        <f t="shared" si="6"/>
        <v>0</v>
      </c>
      <c r="R26" s="692"/>
      <c r="S26" s="312">
        <f t="shared" si="7"/>
        <v>17</v>
      </c>
      <c r="T26" s="668"/>
      <c r="U26" s="899"/>
      <c r="V26" s="887" t="s">
        <v>805</v>
      </c>
      <c r="W26" s="906">
        <v>0</v>
      </c>
      <c r="X26" s="687">
        <f>VLOOKUP(V26,Düngemittel!$B$6:$E$64,2,FALSE)*(VLOOKUP(V26,Düngemittel!$B$6:$E$64,3,FALSE))/100*W26</f>
        <v>0</v>
      </c>
      <c r="Y26" s="687">
        <f>VLOOKUP(V26,Düngemittel!$B$6:$E$64,2,FALSE)*W26</f>
        <v>0</v>
      </c>
      <c r="Z26" s="687">
        <f>VLOOKUP(V26,Düngemittel!$B$6:$E$64,4,FALSE)*W26</f>
        <v>0</v>
      </c>
      <c r="AA26" s="668"/>
      <c r="AB26" s="899"/>
      <c r="AC26" s="887" t="s">
        <v>805</v>
      </c>
      <c r="AD26" s="906">
        <v>0</v>
      </c>
      <c r="AE26" s="687">
        <f>VLOOKUP(AC26,Düngemittel!$B$6:$E$64,2,FALSE)*(VLOOKUP(AC26,Düngemittel!$B$6:$E$64,3,FALSE))/100*AD26</f>
        <v>0</v>
      </c>
      <c r="AF26" s="687">
        <f>VLOOKUP(AC26,Düngemittel!$B$6:$E$64,2,FALSE)*AD26</f>
        <v>0</v>
      </c>
      <c r="AG26" s="687">
        <f>VLOOKUP(AC26,Düngemittel!$B$6:$E$64,4,FALSE)*AD26</f>
        <v>0</v>
      </c>
      <c r="AH26" s="666"/>
      <c r="AI26" s="899"/>
      <c r="AJ26" s="887" t="s">
        <v>805</v>
      </c>
      <c r="AK26" s="906">
        <v>0</v>
      </c>
      <c r="AL26" s="687">
        <f>VLOOKUP(AJ26,Düngemittel!$B$6:$E$64,2,FALSE)*(VLOOKUP(AJ26,Düngemittel!$B$6:$E$64,3,FALSE))/100*AK26</f>
        <v>0</v>
      </c>
      <c r="AM26" s="687">
        <f>VLOOKUP(AJ26,Düngemittel!$B$6:$E$64,2,FALSE)*AK26</f>
        <v>0</v>
      </c>
      <c r="AN26" s="687">
        <f>VLOOKUP(AJ26,Düngemittel!$B$6:$E$64,4,FALSE)*AK26</f>
        <v>0</v>
      </c>
      <c r="AO26" s="666"/>
      <c r="AP26" s="853">
        <f t="shared" si="11"/>
        <v>0</v>
      </c>
      <c r="AQ26" s="308">
        <f t="shared" si="12"/>
        <v>0</v>
      </c>
      <c r="AR26" s="853">
        <f t="shared" si="13"/>
        <v>0</v>
      </c>
      <c r="AS26" s="790">
        <f t="shared" si="14"/>
        <v>0</v>
      </c>
      <c r="AT26" s="308">
        <f t="shared" si="15"/>
        <v>0</v>
      </c>
      <c r="AU26" s="786"/>
      <c r="AV26" s="853">
        <f t="shared" si="16"/>
        <v>0</v>
      </c>
      <c r="AW26" s="853">
        <f t="shared" si="17"/>
        <v>0</v>
      </c>
      <c r="AX26" s="853">
        <f t="shared" si="18"/>
        <v>0</v>
      </c>
      <c r="AY26" s="853">
        <f t="shared" si="19"/>
        <v>0</v>
      </c>
      <c r="AZ26" s="853">
        <f t="shared" si="20"/>
        <v>0</v>
      </c>
      <c r="BA26" s="351">
        <f t="shared" si="9"/>
        <v>0</v>
      </c>
      <c r="BB26" s="399">
        <f t="shared" si="10"/>
        <v>40</v>
      </c>
      <c r="BC26" s="3"/>
    </row>
    <row r="27" spans="1:63" ht="28.5" customHeight="1" x14ac:dyDescent="0.25">
      <c r="A27" s="342">
        <v>18</v>
      </c>
      <c r="B27" s="1222">
        <v>0</v>
      </c>
      <c r="C27" s="1494"/>
      <c r="D27" s="1028" t="s">
        <v>578</v>
      </c>
      <c r="E27" s="1025">
        <f t="shared" si="0"/>
        <v>0</v>
      </c>
      <c r="F27" s="645" t="s">
        <v>567</v>
      </c>
      <c r="G27" s="436">
        <f t="shared" si="1"/>
        <v>0</v>
      </c>
      <c r="H27" s="437" t="s">
        <v>299</v>
      </c>
      <c r="I27" s="438">
        <f t="shared" si="2"/>
        <v>0</v>
      </c>
      <c r="J27" s="439" t="s">
        <v>559</v>
      </c>
      <c r="K27" s="394" t="s">
        <v>561</v>
      </c>
      <c r="L27" s="436">
        <f t="shared" si="3"/>
        <v>0</v>
      </c>
      <c r="M27" s="1023"/>
      <c r="N27" s="440">
        <f t="shared" si="4"/>
        <v>40</v>
      </c>
      <c r="O27" s="504">
        <f t="shared" si="5"/>
        <v>0</v>
      </c>
      <c r="P27" s="509">
        <v>10</v>
      </c>
      <c r="Q27" s="507">
        <f t="shared" si="6"/>
        <v>0</v>
      </c>
      <c r="R27" s="692"/>
      <c r="S27" s="312">
        <f t="shared" si="7"/>
        <v>18</v>
      </c>
      <c r="T27" s="668"/>
      <c r="U27" s="899"/>
      <c r="V27" s="887" t="s">
        <v>805</v>
      </c>
      <c r="W27" s="906">
        <v>0</v>
      </c>
      <c r="X27" s="687">
        <f>VLOOKUP(V27,Düngemittel!$B$6:$E$64,2,FALSE)*(VLOOKUP(V27,Düngemittel!$B$6:$E$64,3,FALSE))/100*W27</f>
        <v>0</v>
      </c>
      <c r="Y27" s="687">
        <f>VLOOKUP(V27,Düngemittel!$B$6:$E$64,2,FALSE)*W27</f>
        <v>0</v>
      </c>
      <c r="Z27" s="687">
        <f>VLOOKUP(V27,Düngemittel!$B$6:$E$64,4,FALSE)*W27</f>
        <v>0</v>
      </c>
      <c r="AA27" s="668"/>
      <c r="AB27" s="899"/>
      <c r="AC27" s="887" t="s">
        <v>805</v>
      </c>
      <c r="AD27" s="906">
        <v>0</v>
      </c>
      <c r="AE27" s="687">
        <f>VLOOKUP(AC27,Düngemittel!$B$6:$E$64,2,FALSE)*(VLOOKUP(AC27,Düngemittel!$B$6:$E$64,3,FALSE))/100*AD27</f>
        <v>0</v>
      </c>
      <c r="AF27" s="687">
        <f>VLOOKUP(AC27,Düngemittel!$B$6:$E$64,2,FALSE)*AD27</f>
        <v>0</v>
      </c>
      <c r="AG27" s="687">
        <f>VLOOKUP(AC27,Düngemittel!$B$6:$E$64,4,FALSE)*AD27</f>
        <v>0</v>
      </c>
      <c r="AH27" s="666"/>
      <c r="AI27" s="899"/>
      <c r="AJ27" s="887" t="s">
        <v>805</v>
      </c>
      <c r="AK27" s="906">
        <v>0</v>
      </c>
      <c r="AL27" s="687">
        <f>VLOOKUP(AJ27,Düngemittel!$B$6:$E$64,2,FALSE)*(VLOOKUP(AJ27,Düngemittel!$B$6:$E$64,3,FALSE))/100*AK27</f>
        <v>0</v>
      </c>
      <c r="AM27" s="687">
        <f>VLOOKUP(AJ27,Düngemittel!$B$6:$E$64,2,FALSE)*AK27</f>
        <v>0</v>
      </c>
      <c r="AN27" s="687">
        <f>VLOOKUP(AJ27,Düngemittel!$B$6:$E$64,4,FALSE)*AK27</f>
        <v>0</v>
      </c>
      <c r="AO27" s="666"/>
      <c r="AP27" s="853">
        <f t="shared" si="11"/>
        <v>0</v>
      </c>
      <c r="AQ27" s="308">
        <f t="shared" si="12"/>
        <v>0</v>
      </c>
      <c r="AR27" s="853">
        <f t="shared" si="13"/>
        <v>0</v>
      </c>
      <c r="AS27" s="790">
        <f t="shared" si="14"/>
        <v>0</v>
      </c>
      <c r="AT27" s="308">
        <f t="shared" si="15"/>
        <v>0</v>
      </c>
      <c r="AU27" s="786"/>
      <c r="AV27" s="853">
        <f t="shared" si="16"/>
        <v>0</v>
      </c>
      <c r="AW27" s="853">
        <f t="shared" si="17"/>
        <v>0</v>
      </c>
      <c r="AX27" s="853">
        <f t="shared" si="18"/>
        <v>0</v>
      </c>
      <c r="AY27" s="853">
        <f t="shared" si="19"/>
        <v>0</v>
      </c>
      <c r="AZ27" s="853">
        <f t="shared" si="20"/>
        <v>0</v>
      </c>
      <c r="BA27" s="351">
        <f t="shared" si="9"/>
        <v>0</v>
      </c>
      <c r="BB27" s="399">
        <f t="shared" si="10"/>
        <v>40</v>
      </c>
    </row>
    <row r="28" spans="1:63" ht="28.5" customHeight="1" x14ac:dyDescent="0.25">
      <c r="A28" s="342">
        <v>19</v>
      </c>
      <c r="B28" s="1222">
        <v>0</v>
      </c>
      <c r="C28" s="1494"/>
      <c r="D28" s="1028" t="s">
        <v>578</v>
      </c>
      <c r="E28" s="1025">
        <f t="shared" si="0"/>
        <v>0</v>
      </c>
      <c r="F28" s="645" t="s">
        <v>567</v>
      </c>
      <c r="G28" s="436">
        <f t="shared" si="1"/>
        <v>0</v>
      </c>
      <c r="H28" s="437" t="s">
        <v>299</v>
      </c>
      <c r="I28" s="438">
        <f t="shared" si="2"/>
        <v>0</v>
      </c>
      <c r="J28" s="439" t="s">
        <v>559</v>
      </c>
      <c r="K28" s="394" t="s">
        <v>561</v>
      </c>
      <c r="L28" s="436">
        <f t="shared" si="3"/>
        <v>0</v>
      </c>
      <c r="M28" s="1023"/>
      <c r="N28" s="440">
        <f t="shared" si="4"/>
        <v>40</v>
      </c>
      <c r="O28" s="504">
        <f t="shared" si="5"/>
        <v>0</v>
      </c>
      <c r="P28" s="509">
        <v>10</v>
      </c>
      <c r="Q28" s="507">
        <f t="shared" si="6"/>
        <v>0</v>
      </c>
      <c r="R28" s="692"/>
      <c r="S28" s="312">
        <f t="shared" si="7"/>
        <v>19</v>
      </c>
      <c r="T28" s="668"/>
      <c r="U28" s="899"/>
      <c r="V28" s="887" t="s">
        <v>805</v>
      </c>
      <c r="W28" s="906">
        <v>0</v>
      </c>
      <c r="X28" s="687">
        <f>VLOOKUP(V28,Düngemittel!$B$6:$E$64,2,FALSE)*(VLOOKUP(V28,Düngemittel!$B$6:$E$64,3,FALSE))/100*W28</f>
        <v>0</v>
      </c>
      <c r="Y28" s="687">
        <f>VLOOKUP(V28,Düngemittel!$B$6:$E$64,2,FALSE)*W28</f>
        <v>0</v>
      </c>
      <c r="Z28" s="687">
        <f>VLOOKUP(V28,Düngemittel!$B$6:$E$64,4,FALSE)*W28</f>
        <v>0</v>
      </c>
      <c r="AA28" s="668"/>
      <c r="AB28" s="899"/>
      <c r="AC28" s="887" t="s">
        <v>805</v>
      </c>
      <c r="AD28" s="906">
        <v>0</v>
      </c>
      <c r="AE28" s="687">
        <f>VLOOKUP(AC28,Düngemittel!$B$6:$E$64,2,FALSE)*(VLOOKUP(AC28,Düngemittel!$B$6:$E$64,3,FALSE))/100*AD28</f>
        <v>0</v>
      </c>
      <c r="AF28" s="687">
        <f>VLOOKUP(AC28,Düngemittel!$B$6:$E$64,2,FALSE)*AD28</f>
        <v>0</v>
      </c>
      <c r="AG28" s="687">
        <f>VLOOKUP(AC28,Düngemittel!$B$6:$E$64,4,FALSE)*AD28</f>
        <v>0</v>
      </c>
      <c r="AH28" s="666"/>
      <c r="AI28" s="899"/>
      <c r="AJ28" s="887" t="s">
        <v>805</v>
      </c>
      <c r="AK28" s="906">
        <v>0</v>
      </c>
      <c r="AL28" s="687">
        <f>VLOOKUP(AJ28,Düngemittel!$B$6:$E$64,2,FALSE)*(VLOOKUP(AJ28,Düngemittel!$B$6:$E$64,3,FALSE))/100*AK28</f>
        <v>0</v>
      </c>
      <c r="AM28" s="687">
        <f>VLOOKUP(AJ28,Düngemittel!$B$6:$E$64,2,FALSE)*AK28</f>
        <v>0</v>
      </c>
      <c r="AN28" s="687">
        <f>VLOOKUP(AJ28,Düngemittel!$B$6:$E$64,4,FALSE)*AK28</f>
        <v>0</v>
      </c>
      <c r="AO28" s="666"/>
      <c r="AP28" s="853">
        <f t="shared" si="11"/>
        <v>0</v>
      </c>
      <c r="AQ28" s="308">
        <f t="shared" si="12"/>
        <v>0</v>
      </c>
      <c r="AR28" s="853">
        <f t="shared" si="13"/>
        <v>0</v>
      </c>
      <c r="AS28" s="790">
        <f t="shared" si="14"/>
        <v>0</v>
      </c>
      <c r="AT28" s="308">
        <f t="shared" si="15"/>
        <v>0</v>
      </c>
      <c r="AU28" s="786"/>
      <c r="AV28" s="853">
        <f t="shared" si="16"/>
        <v>0</v>
      </c>
      <c r="AW28" s="853">
        <f t="shared" si="17"/>
        <v>0</v>
      </c>
      <c r="AX28" s="853">
        <f t="shared" si="18"/>
        <v>0</v>
      </c>
      <c r="AY28" s="853">
        <f t="shared" si="19"/>
        <v>0</v>
      </c>
      <c r="AZ28" s="853">
        <f t="shared" si="20"/>
        <v>0</v>
      </c>
      <c r="BA28" s="351">
        <f t="shared" si="9"/>
        <v>0</v>
      </c>
      <c r="BB28" s="399">
        <f t="shared" si="10"/>
        <v>40</v>
      </c>
    </row>
    <row r="29" spans="1:63" ht="28.5" customHeight="1" x14ac:dyDescent="0.25">
      <c r="A29" s="342">
        <v>20</v>
      </c>
      <c r="B29" s="1222">
        <v>0</v>
      </c>
      <c r="C29" s="1494"/>
      <c r="D29" s="1028" t="s">
        <v>578</v>
      </c>
      <c r="E29" s="1025">
        <f t="shared" si="0"/>
        <v>0</v>
      </c>
      <c r="F29" s="645" t="s">
        <v>567</v>
      </c>
      <c r="G29" s="436">
        <f t="shared" si="1"/>
        <v>0</v>
      </c>
      <c r="H29" s="437" t="s">
        <v>299</v>
      </c>
      <c r="I29" s="438">
        <f t="shared" si="2"/>
        <v>0</v>
      </c>
      <c r="J29" s="439" t="s">
        <v>559</v>
      </c>
      <c r="K29" s="394" t="s">
        <v>561</v>
      </c>
      <c r="L29" s="436">
        <f t="shared" si="3"/>
        <v>0</v>
      </c>
      <c r="M29" s="1023"/>
      <c r="N29" s="440">
        <f t="shared" si="4"/>
        <v>40</v>
      </c>
      <c r="O29" s="504">
        <f t="shared" si="5"/>
        <v>0</v>
      </c>
      <c r="P29" s="509">
        <v>10</v>
      </c>
      <c r="Q29" s="507">
        <f t="shared" si="6"/>
        <v>0</v>
      </c>
      <c r="R29" s="754"/>
      <c r="S29" s="312">
        <f t="shared" si="7"/>
        <v>20</v>
      </c>
      <c r="T29" s="668"/>
      <c r="U29" s="899"/>
      <c r="V29" s="887" t="s">
        <v>805</v>
      </c>
      <c r="W29" s="906">
        <v>0</v>
      </c>
      <c r="X29" s="687">
        <f>VLOOKUP(V29,Düngemittel!$B$6:$E$64,2,FALSE)*(VLOOKUP(V29,Düngemittel!$B$6:$E$64,3,FALSE))/100*W29</f>
        <v>0</v>
      </c>
      <c r="Y29" s="687">
        <f>VLOOKUP(V29,Düngemittel!$B$6:$E$64,2,FALSE)*W29</f>
        <v>0</v>
      </c>
      <c r="Z29" s="687">
        <f>VLOOKUP(V29,Düngemittel!$B$6:$E$64,4,FALSE)*W29</f>
        <v>0</v>
      </c>
      <c r="AA29" s="668"/>
      <c r="AB29" s="899"/>
      <c r="AC29" s="887" t="s">
        <v>805</v>
      </c>
      <c r="AD29" s="906">
        <v>0</v>
      </c>
      <c r="AE29" s="687">
        <f>VLOOKUP(AC29,Düngemittel!$B$6:$E$64,2,FALSE)*(VLOOKUP(AC29,Düngemittel!$B$6:$E$64,3,FALSE))/100*AD29</f>
        <v>0</v>
      </c>
      <c r="AF29" s="687">
        <f>VLOOKUP(AC29,Düngemittel!$B$6:$E$64,2,FALSE)*AD29</f>
        <v>0</v>
      </c>
      <c r="AG29" s="687">
        <f>VLOOKUP(AC29,Düngemittel!$B$6:$E$64,4,FALSE)*AD29</f>
        <v>0</v>
      </c>
      <c r="AH29" s="667"/>
      <c r="AI29" s="899"/>
      <c r="AJ29" s="887" t="s">
        <v>805</v>
      </c>
      <c r="AK29" s="906">
        <v>0</v>
      </c>
      <c r="AL29" s="687">
        <f>VLOOKUP(AJ29,Düngemittel!$B$6:$E$64,2,FALSE)*(VLOOKUP(AJ29,Düngemittel!$B$6:$E$64,3,FALSE))/100*AK29</f>
        <v>0</v>
      </c>
      <c r="AM29" s="687">
        <f>VLOOKUP(AJ29,Düngemittel!$B$6:$E$64,2,FALSE)*AK29</f>
        <v>0</v>
      </c>
      <c r="AN29" s="687">
        <f>VLOOKUP(AJ29,Düngemittel!$B$6:$E$64,4,FALSE)*AK29</f>
        <v>0</v>
      </c>
      <c r="AO29" s="667"/>
      <c r="AP29" s="853">
        <f t="shared" si="11"/>
        <v>0</v>
      </c>
      <c r="AQ29" s="308">
        <f t="shared" si="12"/>
        <v>0</v>
      </c>
      <c r="AR29" s="853">
        <f t="shared" si="13"/>
        <v>0</v>
      </c>
      <c r="AS29" s="790">
        <f t="shared" si="14"/>
        <v>0</v>
      </c>
      <c r="AT29" s="308">
        <f t="shared" si="15"/>
        <v>0</v>
      </c>
      <c r="AU29" s="787"/>
      <c r="AV29" s="853">
        <f t="shared" si="16"/>
        <v>0</v>
      </c>
      <c r="AW29" s="853">
        <f t="shared" si="17"/>
        <v>0</v>
      </c>
      <c r="AX29" s="853">
        <f t="shared" si="18"/>
        <v>0</v>
      </c>
      <c r="AY29" s="853">
        <f t="shared" si="19"/>
        <v>0</v>
      </c>
      <c r="AZ29" s="853">
        <f t="shared" si="20"/>
        <v>0</v>
      </c>
      <c r="BA29" s="351">
        <f t="shared" si="9"/>
        <v>0</v>
      </c>
      <c r="BB29" s="399">
        <f t="shared" si="10"/>
        <v>40</v>
      </c>
    </row>
    <row r="30" spans="1:63" ht="28.5" customHeight="1" x14ac:dyDescent="0.25">
      <c r="A30" s="342">
        <v>21</v>
      </c>
      <c r="B30" s="1222">
        <v>0</v>
      </c>
      <c r="C30" s="1494"/>
      <c r="D30" s="1028" t="s">
        <v>578</v>
      </c>
      <c r="E30" s="1025">
        <f t="shared" si="0"/>
        <v>0</v>
      </c>
      <c r="F30" s="632" t="s">
        <v>567</v>
      </c>
      <c r="G30" s="427">
        <v>0</v>
      </c>
      <c r="H30" s="433" t="s">
        <v>299</v>
      </c>
      <c r="I30" s="438">
        <f t="shared" si="2"/>
        <v>0</v>
      </c>
      <c r="J30" s="755" t="s">
        <v>559</v>
      </c>
      <c r="K30" s="756" t="s">
        <v>561</v>
      </c>
      <c r="L30" s="427">
        <v>0</v>
      </c>
      <c r="M30" s="1030"/>
      <c r="N30" s="440">
        <f t="shared" si="4"/>
        <v>40</v>
      </c>
      <c r="O30" s="504">
        <f t="shared" si="5"/>
        <v>0</v>
      </c>
      <c r="P30" s="509">
        <v>10</v>
      </c>
      <c r="Q30" s="507">
        <f t="shared" si="6"/>
        <v>0</v>
      </c>
      <c r="R30" s="759"/>
      <c r="S30" s="312">
        <v>21</v>
      </c>
      <c r="T30" s="312"/>
      <c r="U30" s="886"/>
      <c r="V30" s="887" t="s">
        <v>805</v>
      </c>
      <c r="W30" s="906">
        <v>0</v>
      </c>
      <c r="X30" s="687">
        <f>VLOOKUP(V30,Düngemittel!$B$6:$E$64,2,FALSE)*(VLOOKUP(V30,Düngemittel!$B$6:$E$64,3,FALSE))/100*W30</f>
        <v>0</v>
      </c>
      <c r="Y30" s="687">
        <f>VLOOKUP(V30,Düngemittel!$B$6:$E$64,2,FALSE)*W30</f>
        <v>0</v>
      </c>
      <c r="Z30" s="687">
        <f>VLOOKUP(V30,Düngemittel!$B$6:$E$64,4,FALSE)*W30</f>
        <v>0</v>
      </c>
      <c r="AA30" s="312"/>
      <c r="AB30" s="886"/>
      <c r="AC30" s="887" t="s">
        <v>805</v>
      </c>
      <c r="AD30" s="906">
        <v>0</v>
      </c>
      <c r="AE30" s="687">
        <f>VLOOKUP(AC30,Düngemittel!$B$6:$E$64,2,FALSE)*(VLOOKUP(AC30,Düngemittel!$B$6:$E$64,3,FALSE))/100*AD30</f>
        <v>0</v>
      </c>
      <c r="AF30" s="687">
        <f>VLOOKUP(AC30,Düngemittel!$B$6:$E$64,2,FALSE)*AD30</f>
        <v>0</v>
      </c>
      <c r="AG30" s="687">
        <f>VLOOKUP(AC30,Düngemittel!$B$6:$E$64,4,FALSE)*AD30</f>
        <v>0</v>
      </c>
      <c r="AH30" s="760"/>
      <c r="AI30" s="886"/>
      <c r="AJ30" s="887" t="s">
        <v>805</v>
      </c>
      <c r="AK30" s="906">
        <v>0</v>
      </c>
      <c r="AL30" s="687">
        <f>VLOOKUP(AJ30,Düngemittel!$B$6:$E$64,2,FALSE)*(VLOOKUP(AJ30,Düngemittel!$B$6:$E$64,3,FALSE))/100*AK30</f>
        <v>0</v>
      </c>
      <c r="AM30" s="687">
        <f>VLOOKUP(AJ30,Düngemittel!$B$6:$E$64,2,FALSE)*AK30</f>
        <v>0</v>
      </c>
      <c r="AN30" s="687">
        <f>VLOOKUP(AJ30,Düngemittel!$B$6:$E$64,4,FALSE)*AK30</f>
        <v>0</v>
      </c>
      <c r="AO30" s="760"/>
      <c r="AP30" s="853">
        <f t="shared" si="11"/>
        <v>0</v>
      </c>
      <c r="AQ30" s="308">
        <f t="shared" si="12"/>
        <v>0</v>
      </c>
      <c r="AR30" s="853">
        <f t="shared" si="13"/>
        <v>0</v>
      </c>
      <c r="AS30" s="790">
        <f t="shared" si="14"/>
        <v>0</v>
      </c>
      <c r="AT30" s="308">
        <f t="shared" si="15"/>
        <v>0</v>
      </c>
      <c r="AU30" s="788"/>
      <c r="AV30" s="853">
        <f t="shared" si="16"/>
        <v>0</v>
      </c>
      <c r="AW30" s="853">
        <f t="shared" si="17"/>
        <v>0</v>
      </c>
      <c r="AX30" s="853">
        <f t="shared" si="18"/>
        <v>0</v>
      </c>
      <c r="AY30" s="853">
        <f t="shared" si="19"/>
        <v>0</v>
      </c>
      <c r="AZ30" s="853">
        <f t="shared" si="20"/>
        <v>0</v>
      </c>
      <c r="BA30" s="351">
        <f t="shared" si="9"/>
        <v>0</v>
      </c>
      <c r="BB30" s="399">
        <f t="shared" si="10"/>
        <v>40</v>
      </c>
    </row>
    <row r="31" spans="1:63" ht="28.5" customHeight="1" thickBot="1" x14ac:dyDescent="0.3">
      <c r="A31" s="381">
        <v>22</v>
      </c>
      <c r="B31" s="1236">
        <v>0</v>
      </c>
      <c r="C31" s="1495"/>
      <c r="D31" s="1029" t="s">
        <v>578</v>
      </c>
      <c r="E31" s="1026">
        <f t="shared" si="0"/>
        <v>0</v>
      </c>
      <c r="F31" s="632" t="s">
        <v>567</v>
      </c>
      <c r="G31" s="427">
        <f>VLOOKUP(F31,BD$11:BE$20,2,FALSE)</f>
        <v>0</v>
      </c>
      <c r="H31" s="433" t="s">
        <v>299</v>
      </c>
      <c r="I31" s="761">
        <f>VLOOKUP(H31,BG$11:BH$13,2,FALSE)</f>
        <v>0</v>
      </c>
      <c r="J31" s="755" t="s">
        <v>559</v>
      </c>
      <c r="K31" s="756" t="s">
        <v>561</v>
      </c>
      <c r="L31" s="428">
        <f>IF(K31="jede zweite",BA31,BA31*2)</f>
        <v>0</v>
      </c>
      <c r="M31" s="1031"/>
      <c r="N31" s="752">
        <f t="shared" si="4"/>
        <v>40</v>
      </c>
      <c r="O31" s="753">
        <f t="shared" si="5"/>
        <v>0</v>
      </c>
      <c r="P31" s="479">
        <v>10</v>
      </c>
      <c r="Q31" s="508">
        <f t="shared" si="6"/>
        <v>0</v>
      </c>
      <c r="R31" s="757"/>
      <c r="S31" s="312">
        <v>22</v>
      </c>
      <c r="T31" s="312"/>
      <c r="U31" s="886"/>
      <c r="V31" s="887" t="s">
        <v>805</v>
      </c>
      <c r="W31" s="906">
        <v>0</v>
      </c>
      <c r="X31" s="687">
        <f>VLOOKUP(V31,Düngemittel!$B$6:$E$64,2,FALSE)*(VLOOKUP(V31,Düngemittel!$B$6:$E$64,3,FALSE))/100*W31</f>
        <v>0</v>
      </c>
      <c r="Y31" s="687">
        <f>VLOOKUP(V31,Düngemittel!$B$6:$E$64,2,FALSE)*W31</f>
        <v>0</v>
      </c>
      <c r="Z31" s="687">
        <f>VLOOKUP(V31,Düngemittel!$B$6:$E$64,4,FALSE)*W31</f>
        <v>0</v>
      </c>
      <c r="AA31" s="312"/>
      <c r="AB31" s="886"/>
      <c r="AC31" s="887" t="s">
        <v>805</v>
      </c>
      <c r="AD31" s="906">
        <v>0</v>
      </c>
      <c r="AE31" s="687">
        <f>VLOOKUP(AC31,Düngemittel!$B$6:$E$64,2,FALSE)*(VLOOKUP(AC31,Düngemittel!$B$6:$E$64,3,FALSE))/100*AD31</f>
        <v>0</v>
      </c>
      <c r="AF31" s="687">
        <f>VLOOKUP(AC31,Düngemittel!$B$6:$E$64,2,FALSE)*AD31</f>
        <v>0</v>
      </c>
      <c r="AG31" s="687">
        <f>VLOOKUP(AC31,Düngemittel!$B$6:$E$64,4,FALSE)*AD31</f>
        <v>0</v>
      </c>
      <c r="AH31" s="758"/>
      <c r="AI31" s="886"/>
      <c r="AJ31" s="887" t="s">
        <v>805</v>
      </c>
      <c r="AK31" s="906">
        <v>0</v>
      </c>
      <c r="AL31" s="687">
        <f>VLOOKUP(AJ31,Düngemittel!$B$6:$E$64,2,FALSE)*(VLOOKUP(AJ31,Düngemittel!$B$6:$E$64,3,FALSE))/100*AK31</f>
        <v>0</v>
      </c>
      <c r="AM31" s="687">
        <f>VLOOKUP(AJ31,Düngemittel!$B$6:$E$64,2,FALSE)*AK31</f>
        <v>0</v>
      </c>
      <c r="AN31" s="687">
        <f>VLOOKUP(AJ31,Düngemittel!$B$6:$E$64,4,FALSE)*AK31</f>
        <v>0</v>
      </c>
      <c r="AO31" s="758"/>
      <c r="AP31" s="853">
        <f t="shared" si="11"/>
        <v>0</v>
      </c>
      <c r="AQ31" s="308">
        <f t="shared" si="12"/>
        <v>0</v>
      </c>
      <c r="AR31" s="853">
        <f t="shared" si="13"/>
        <v>0</v>
      </c>
      <c r="AS31" s="790">
        <f t="shared" si="14"/>
        <v>0</v>
      </c>
      <c r="AT31" s="308">
        <f t="shared" si="15"/>
        <v>0</v>
      </c>
      <c r="AU31" s="789"/>
      <c r="AV31" s="853">
        <f t="shared" si="16"/>
        <v>0</v>
      </c>
      <c r="AW31" s="853">
        <f t="shared" si="17"/>
        <v>0</v>
      </c>
      <c r="AX31" s="853">
        <f t="shared" si="18"/>
        <v>0</v>
      </c>
      <c r="AY31" s="853">
        <f t="shared" si="19"/>
        <v>0</v>
      </c>
      <c r="AZ31" s="853">
        <f t="shared" si="20"/>
        <v>0</v>
      </c>
      <c r="BA31" s="351">
        <f t="shared" si="9"/>
        <v>0</v>
      </c>
      <c r="BB31" s="399">
        <f t="shared" si="10"/>
        <v>40</v>
      </c>
    </row>
    <row r="32" spans="1:63" ht="26.25" customHeight="1" thickBot="1" x14ac:dyDescent="0.3">
      <c r="A32" s="384" t="s">
        <v>292</v>
      </c>
      <c r="B32" s="401">
        <f>SUM(B10:B31)</f>
        <v>0</v>
      </c>
      <c r="C32" s="375"/>
      <c r="D32" s="371"/>
      <c r="E32" s="371"/>
      <c r="F32" s="375"/>
      <c r="G32" s="375"/>
      <c r="H32" s="375"/>
      <c r="I32" s="375"/>
      <c r="J32" s="375"/>
      <c r="K32" s="375"/>
      <c r="L32" s="375"/>
      <c r="M32" s="375"/>
      <c r="N32" s="385" t="s">
        <v>552</v>
      </c>
      <c r="O32" s="506">
        <f>SUM(O10:O31)</f>
        <v>0</v>
      </c>
      <c r="P32" s="506"/>
      <c r="Q32" s="395">
        <f>SUM(Q10:Q31)</f>
        <v>0</v>
      </c>
      <c r="R32" s="475"/>
      <c r="S32" s="475"/>
      <c r="T32" s="475"/>
      <c r="U32" s="475"/>
      <c r="V32" s="475"/>
      <c r="W32" s="475"/>
      <c r="X32" s="475"/>
      <c r="Y32" s="475"/>
      <c r="Z32" s="475"/>
      <c r="AA32" s="475"/>
      <c r="AB32" s="475"/>
      <c r="AC32" s="475"/>
      <c r="AD32" s="475"/>
      <c r="AE32" s="475"/>
      <c r="AF32" s="475"/>
      <c r="AG32" s="475"/>
      <c r="AH32" s="475"/>
      <c r="AI32" s="475"/>
      <c r="AJ32" s="475"/>
      <c r="AK32" s="475"/>
      <c r="AL32" s="475"/>
      <c r="AM32" s="475"/>
      <c r="AN32" s="475"/>
      <c r="AO32" s="475"/>
      <c r="AP32" s="476"/>
      <c r="AQ32" s="476"/>
      <c r="AR32" s="476"/>
      <c r="AS32" s="476"/>
      <c r="AT32" s="476"/>
      <c r="AU32" s="272"/>
      <c r="AV32" s="308">
        <f>SUM(AV10:AV31)</f>
        <v>0</v>
      </c>
      <c r="AW32" s="308">
        <f>SUM(AW10:AW31)</f>
        <v>0</v>
      </c>
      <c r="AX32" s="308">
        <f>SUM(AX10:AX31)</f>
        <v>0</v>
      </c>
      <c r="AY32" s="308">
        <f>SUM(AY10:AY31)</f>
        <v>0</v>
      </c>
      <c r="AZ32" s="308">
        <f>SUM(AZ10:AZ31)</f>
        <v>0</v>
      </c>
      <c r="BA32" s="782" t="s">
        <v>1097</v>
      </c>
      <c r="BB32" s="390"/>
    </row>
    <row r="33" spans="1:55" ht="27.75" customHeight="1" x14ac:dyDescent="0.25">
      <c r="A33" s="118"/>
      <c r="B33" s="112"/>
      <c r="D33" s="80"/>
      <c r="E33" s="112"/>
      <c r="H33" s="151"/>
      <c r="O33" s="1310" t="s">
        <v>1118</v>
      </c>
      <c r="Q33" s="1310" t="s">
        <v>1119</v>
      </c>
      <c r="AP33" s="784" t="e">
        <f t="shared" ref="AP33:AT33" si="21">AV33</f>
        <v>#DIV/0!</v>
      </c>
      <c r="AQ33" s="308" t="e">
        <f t="shared" si="21"/>
        <v>#DIV/0!</v>
      </c>
      <c r="AR33" s="784" t="e">
        <f t="shared" si="21"/>
        <v>#DIV/0!</v>
      </c>
      <c r="AS33" s="777" t="e">
        <f t="shared" si="21"/>
        <v>#DIV/0!</v>
      </c>
      <c r="AT33" s="308" t="e">
        <f t="shared" si="21"/>
        <v>#DIV/0!</v>
      </c>
      <c r="AU33" s="272"/>
      <c r="AV33" s="784" t="e">
        <f>AV32/$B32</f>
        <v>#DIV/0!</v>
      </c>
      <c r="AW33" s="308" t="e">
        <f>AW32/$B32</f>
        <v>#DIV/0!</v>
      </c>
      <c r="AX33" s="784" t="e">
        <f>AX32/$B32</f>
        <v>#DIV/0!</v>
      </c>
      <c r="AY33" s="777" t="e">
        <f>AY32/$B32</f>
        <v>#DIV/0!</v>
      </c>
      <c r="AZ33" s="308" t="e">
        <f>AZ32/$B32</f>
        <v>#DIV/0!</v>
      </c>
      <c r="BA33" s="782" t="s">
        <v>1076</v>
      </c>
    </row>
    <row r="34" spans="1:55" ht="51.75" customHeight="1" thickBot="1" x14ac:dyDescent="0.3">
      <c r="A34" s="118"/>
      <c r="B34" s="112"/>
      <c r="D34" s="80"/>
      <c r="E34" s="112"/>
      <c r="H34" s="151"/>
      <c r="O34" s="1311"/>
      <c r="Q34" s="1311"/>
      <c r="R34" s="476"/>
      <c r="S34" s="476"/>
      <c r="T34" s="476"/>
      <c r="U34" s="476"/>
      <c r="V34" s="476"/>
      <c r="W34" s="476"/>
      <c r="X34" s="476"/>
      <c r="Y34" s="476"/>
      <c r="Z34" s="476"/>
      <c r="AA34" s="476"/>
      <c r="AB34" s="476"/>
      <c r="AC34" s="476"/>
      <c r="AD34" s="476"/>
      <c r="AE34" s="476"/>
      <c r="AF34" s="476"/>
      <c r="AG34" s="476"/>
      <c r="AH34" s="476"/>
      <c r="AI34" s="476"/>
      <c r="AJ34" s="476"/>
      <c r="AK34" s="476"/>
      <c r="AL34" s="476"/>
      <c r="AM34" s="476"/>
      <c r="AN34" s="476"/>
      <c r="AO34" s="476"/>
      <c r="AP34" s="775" t="s">
        <v>1096</v>
      </c>
      <c r="AQ34" s="312" t="s">
        <v>1082</v>
      </c>
      <c r="AR34" s="312" t="s">
        <v>1099</v>
      </c>
      <c r="AS34" s="699" t="s">
        <v>1268</v>
      </c>
      <c r="AT34" s="312" t="s">
        <v>290</v>
      </c>
      <c r="AU34" s="476"/>
      <c r="AV34" s="780" t="s">
        <v>1096</v>
      </c>
      <c r="AW34" s="312" t="s">
        <v>1082</v>
      </c>
      <c r="AX34" s="781" t="s">
        <v>1098</v>
      </c>
      <c r="AY34" s="699" t="s">
        <v>1268</v>
      </c>
      <c r="AZ34" s="312" t="s">
        <v>290</v>
      </c>
      <c r="BA34" s="356"/>
      <c r="BB34" s="400"/>
      <c r="BC34" s="400"/>
    </row>
    <row r="35" spans="1:55" ht="42" customHeight="1" x14ac:dyDescent="0.25">
      <c r="A35" s="1491" t="s">
        <v>794</v>
      </c>
      <c r="B35" s="1292"/>
      <c r="C35" s="1292"/>
      <c r="D35" s="1492"/>
      <c r="E35" s="112"/>
      <c r="H35" s="151"/>
      <c r="O35" s="357"/>
      <c r="P35" s="357"/>
      <c r="R35" s="476"/>
      <c r="S35" s="476"/>
      <c r="T35" s="476"/>
      <c r="U35" s="476"/>
      <c r="V35" s="476"/>
      <c r="W35" s="476"/>
      <c r="X35" s="476"/>
      <c r="Y35" s="476"/>
      <c r="Z35" s="476"/>
      <c r="AA35" s="476"/>
      <c r="AB35" s="476"/>
      <c r="AC35" s="476"/>
      <c r="AD35" s="476"/>
      <c r="AE35" s="476"/>
      <c r="AF35" s="476"/>
      <c r="AG35" s="476"/>
      <c r="AH35" s="476"/>
      <c r="AI35" s="476"/>
      <c r="AJ35" s="476"/>
      <c r="AK35" s="476"/>
      <c r="AL35" s="476"/>
      <c r="AM35" s="476"/>
      <c r="AN35" s="476"/>
      <c r="AO35" s="476"/>
      <c r="AP35" s="476"/>
      <c r="AQ35" s="476"/>
      <c r="AR35" s="476"/>
      <c r="AS35" s="476"/>
      <c r="AT35" s="476"/>
      <c r="AU35" s="476"/>
      <c r="AV35" s="476"/>
      <c r="AW35" s="476"/>
      <c r="AX35" s="476"/>
      <c r="AY35" s="476"/>
      <c r="AZ35" s="476"/>
      <c r="BA35" s="400"/>
      <c r="BB35" s="400"/>
      <c r="BC35" s="400"/>
    </row>
    <row r="36" spans="1:55" ht="38.25" customHeight="1" x14ac:dyDescent="0.25">
      <c r="A36" s="1483" t="s">
        <v>795</v>
      </c>
      <c r="B36" s="1336"/>
      <c r="C36" s="1336"/>
      <c r="D36" s="1477"/>
      <c r="H36" s="151"/>
      <c r="L36" s="515"/>
      <c r="R36" s="476"/>
      <c r="S36" s="476"/>
      <c r="T36" s="476"/>
      <c r="U36" s="476"/>
      <c r="V36" s="476"/>
      <c r="W36" s="476"/>
      <c r="X36" s="476"/>
      <c r="Y36" s="476"/>
      <c r="Z36" s="476"/>
      <c r="AA36" s="476"/>
      <c r="AB36" s="476"/>
      <c r="AC36" s="476"/>
      <c r="AD36" s="476"/>
      <c r="AE36" s="476"/>
      <c r="AF36" s="476"/>
      <c r="AG36" s="476"/>
      <c r="AH36" s="476"/>
      <c r="AI36" s="476"/>
      <c r="AJ36" s="476"/>
      <c r="AK36" s="476"/>
      <c r="AL36" s="476"/>
      <c r="AM36" s="476"/>
      <c r="AN36" s="476"/>
      <c r="AO36" s="476"/>
      <c r="AP36" s="476"/>
      <c r="AQ36" s="476"/>
      <c r="AR36" s="476"/>
      <c r="AS36" s="476"/>
      <c r="AT36" s="476"/>
      <c r="AU36" s="476"/>
      <c r="AV36" s="476"/>
      <c r="AW36" s="476"/>
      <c r="AX36" s="476"/>
      <c r="AY36" s="476"/>
      <c r="AZ36" s="476"/>
      <c r="BA36" s="400"/>
      <c r="BB36" s="400"/>
      <c r="BC36" s="400"/>
    </row>
    <row r="37" spans="1:55" ht="58.5" customHeight="1" thickBot="1" x14ac:dyDescent="0.3">
      <c r="A37" s="649" t="s">
        <v>791</v>
      </c>
      <c r="B37" s="312" t="s">
        <v>792</v>
      </c>
      <c r="C37" s="681" t="s">
        <v>797</v>
      </c>
      <c r="D37" s="650" t="s">
        <v>4</v>
      </c>
      <c r="E37" s="112"/>
      <c r="H37" s="151"/>
      <c r="R37" s="726"/>
      <c r="S37" s="726"/>
      <c r="T37" s="726"/>
      <c r="U37" s="726"/>
      <c r="V37" s="726"/>
      <c r="W37" s="726"/>
      <c r="X37" s="726"/>
      <c r="Y37" s="726"/>
      <c r="Z37" s="726"/>
      <c r="AA37" s="726"/>
      <c r="AB37" s="726"/>
      <c r="AC37" s="726"/>
      <c r="AD37" s="726"/>
      <c r="AE37" s="726"/>
      <c r="AF37" s="726"/>
      <c r="AG37" s="726"/>
      <c r="AH37" s="726"/>
      <c r="AI37" s="726"/>
      <c r="AJ37" s="726"/>
      <c r="AK37" s="726"/>
      <c r="AL37" s="726"/>
      <c r="AM37" s="726"/>
      <c r="AN37" s="726"/>
      <c r="AO37" s="726"/>
      <c r="AP37" s="726"/>
      <c r="AQ37" s="726"/>
      <c r="AR37" s="726"/>
      <c r="AS37" s="726"/>
      <c r="AT37" s="726"/>
      <c r="AU37" s="726"/>
      <c r="AV37" s="726"/>
      <c r="AW37" s="726"/>
      <c r="AX37" s="726"/>
      <c r="AY37" s="726"/>
      <c r="AZ37" s="726"/>
    </row>
    <row r="38" spans="1:55" ht="29.25" customHeight="1" thickBot="1" x14ac:dyDescent="0.3">
      <c r="A38" s="903">
        <v>10</v>
      </c>
      <c r="B38" s="904">
        <v>6.5</v>
      </c>
      <c r="C38" s="905">
        <v>10</v>
      </c>
      <c r="D38" s="1022">
        <f>A38*B38*C38/100</f>
        <v>6.5</v>
      </c>
      <c r="E38" s="112"/>
      <c r="H38" s="151"/>
    </row>
    <row r="39" spans="1:55" ht="32.25" customHeight="1" thickBot="1" x14ac:dyDescent="0.3">
      <c r="A39" s="646"/>
      <c r="B39" s="647"/>
      <c r="C39" s="648"/>
      <c r="D39" s="653" t="s">
        <v>793</v>
      </c>
      <c r="E39" s="112"/>
      <c r="H39" s="151"/>
    </row>
    <row r="40" spans="1:55" s="515" customFormat="1" ht="40.5" customHeight="1" x14ac:dyDescent="0.25">
      <c r="A40" s="112"/>
      <c r="B40" s="112"/>
      <c r="C40" s="80"/>
      <c r="E40" s="112"/>
      <c r="F40" s="80"/>
      <c r="G40" s="80"/>
      <c r="H40" s="151"/>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80"/>
      <c r="AJ40" s="80"/>
      <c r="AK40" s="80"/>
      <c r="AL40" s="80"/>
      <c r="AM40" s="80"/>
      <c r="AN40" s="80"/>
      <c r="AO40" s="80"/>
      <c r="AP40" s="80"/>
      <c r="AQ40" s="80"/>
      <c r="AR40" s="80"/>
      <c r="AS40" s="80"/>
      <c r="AT40" s="80"/>
      <c r="AU40" s="80"/>
      <c r="AV40" s="80"/>
      <c r="AW40" s="80"/>
      <c r="AX40" s="80"/>
      <c r="AY40" s="80"/>
      <c r="AZ40" s="80"/>
    </row>
    <row r="41" spans="1:55" s="515" customFormat="1" ht="40.5" customHeight="1" x14ac:dyDescent="0.25">
      <c r="A41" s="112"/>
      <c r="B41" s="112"/>
      <c r="C41" s="80"/>
      <c r="E41" s="112"/>
      <c r="F41" s="80"/>
      <c r="G41" s="80"/>
      <c r="H41" s="151"/>
      <c r="I41" s="80"/>
      <c r="J41" s="80"/>
      <c r="K41" s="764"/>
      <c r="L41" s="764"/>
      <c r="M41" s="764"/>
      <c r="N41" s="764"/>
      <c r="O41" s="764"/>
      <c r="P41" s="400"/>
      <c r="Q41" s="40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c r="AP41" s="80"/>
      <c r="AQ41" s="80"/>
      <c r="AR41" s="80"/>
      <c r="AS41" s="80"/>
      <c r="AT41" s="80"/>
      <c r="AU41" s="80"/>
      <c r="AV41" s="80"/>
      <c r="AW41" s="80"/>
      <c r="AX41" s="80"/>
      <c r="AY41" s="80"/>
      <c r="AZ41" s="80"/>
    </row>
    <row r="42" spans="1:55" ht="15.75" customHeight="1" x14ac:dyDescent="0.25">
      <c r="B42" s="112"/>
      <c r="D42" s="515"/>
      <c r="E42" s="112"/>
      <c r="H42" s="151"/>
      <c r="K42" s="764"/>
      <c r="L42" s="764"/>
      <c r="M42" s="764"/>
      <c r="N42" s="764"/>
      <c r="O42" s="764"/>
      <c r="P42" s="400"/>
      <c r="Q42" s="400"/>
    </row>
    <row r="43" spans="1:55" ht="23.25" customHeight="1" x14ac:dyDescent="0.25">
      <c r="B43" s="112"/>
      <c r="D43" s="515"/>
      <c r="E43" s="112"/>
      <c r="H43" s="151"/>
    </row>
    <row r="44" spans="1:55" ht="23.25" customHeight="1" x14ac:dyDescent="0.25">
      <c r="B44" s="112"/>
      <c r="D44" s="515"/>
      <c r="E44" s="112"/>
      <c r="H44" s="151"/>
      <c r="K44" s="400"/>
      <c r="L44" s="400"/>
      <c r="M44" s="400"/>
      <c r="N44" s="400"/>
      <c r="O44" s="400"/>
      <c r="P44" s="400"/>
      <c r="Q44" s="400"/>
    </row>
    <row r="45" spans="1:55" ht="23.25" customHeight="1" x14ac:dyDescent="0.25">
      <c r="B45" s="651"/>
      <c r="D45" s="764"/>
      <c r="E45" s="764"/>
      <c r="F45" s="764"/>
      <c r="G45" s="764"/>
      <c r="H45" s="764"/>
      <c r="I45" s="764"/>
      <c r="J45" s="764"/>
      <c r="K45" s="400"/>
      <c r="L45" s="400"/>
      <c r="M45" s="400"/>
      <c r="N45" s="400"/>
      <c r="O45" s="400"/>
      <c r="P45" s="400"/>
      <c r="Q45" s="400"/>
      <c r="R45" s="400"/>
      <c r="S45" s="400"/>
      <c r="T45" s="400"/>
      <c r="U45" s="400"/>
      <c r="V45" s="400"/>
      <c r="W45" s="400"/>
      <c r="X45" s="400"/>
      <c r="Y45" s="400"/>
      <c r="Z45" s="400"/>
      <c r="AA45" s="400"/>
      <c r="AB45" s="400"/>
      <c r="AC45" s="400"/>
      <c r="AD45" s="400"/>
      <c r="AE45" s="400"/>
      <c r="AF45" s="400"/>
      <c r="AG45" s="400"/>
      <c r="AH45" s="400"/>
      <c r="AI45" s="400"/>
      <c r="AJ45" s="400"/>
      <c r="AK45" s="400"/>
      <c r="AL45" s="400"/>
      <c r="AM45" s="400"/>
      <c r="AN45" s="400"/>
      <c r="AO45" s="400"/>
      <c r="AP45" s="400"/>
      <c r="AQ45" s="400"/>
      <c r="AR45" s="400"/>
      <c r="AS45" s="400"/>
      <c r="AT45" s="400"/>
      <c r="AU45" s="400"/>
      <c r="AV45" s="400"/>
      <c r="AW45" s="400"/>
      <c r="AX45" s="400"/>
      <c r="AY45" s="400"/>
      <c r="AZ45" s="400"/>
    </row>
    <row r="46" spans="1:55" ht="66.75" customHeight="1" x14ac:dyDescent="0.25">
      <c r="A46" s="1488" t="s">
        <v>1084</v>
      </c>
      <c r="B46" s="1281"/>
      <c r="C46" s="1485" t="s">
        <v>1087</v>
      </c>
      <c r="D46" s="1486"/>
      <c r="E46" s="1486"/>
      <c r="F46" s="1486"/>
      <c r="G46" s="1486"/>
      <c r="H46" s="1486"/>
      <c r="I46" s="1486"/>
      <c r="J46" s="1487"/>
      <c r="K46" s="400"/>
      <c r="L46" s="400"/>
      <c r="M46" s="400"/>
      <c r="O46" s="400"/>
      <c r="P46" s="400"/>
      <c r="Q46" s="400"/>
      <c r="R46" s="400"/>
      <c r="S46" s="400"/>
      <c r="T46" s="400"/>
      <c r="U46" s="400"/>
      <c r="V46" s="400"/>
      <c r="W46" s="400"/>
      <c r="X46" s="400"/>
      <c r="Y46" s="400"/>
      <c r="Z46" s="400"/>
      <c r="AA46" s="400"/>
      <c r="AB46" s="400"/>
      <c r="AC46" s="400"/>
      <c r="AD46" s="400"/>
      <c r="AE46" s="400"/>
      <c r="AF46" s="400"/>
      <c r="AG46" s="400"/>
      <c r="AH46" s="400"/>
      <c r="AI46" s="400"/>
      <c r="AJ46" s="400"/>
      <c r="AK46" s="400"/>
      <c r="AL46" s="400"/>
      <c r="AM46" s="400"/>
      <c r="AN46" s="400"/>
      <c r="AO46" s="400"/>
      <c r="AP46" s="400"/>
      <c r="AQ46" s="400"/>
      <c r="AR46" s="400"/>
      <c r="AS46" s="400"/>
      <c r="AT46" s="400"/>
      <c r="AU46" s="400"/>
      <c r="AV46" s="400"/>
      <c r="AW46" s="400"/>
      <c r="AX46" s="400"/>
      <c r="AY46" s="400"/>
      <c r="AZ46" s="400"/>
    </row>
    <row r="47" spans="1:55" ht="8.25" customHeight="1" x14ac:dyDescent="0.25">
      <c r="C47" s="124"/>
      <c r="D47" s="60"/>
      <c r="E47" s="124"/>
      <c r="F47" s="124"/>
      <c r="G47" s="124"/>
      <c r="H47" s="124"/>
      <c r="I47" s="124"/>
      <c r="J47" s="124"/>
      <c r="K47" s="400"/>
      <c r="L47" s="400"/>
      <c r="M47" s="400"/>
      <c r="N47" s="400"/>
      <c r="O47" s="400"/>
    </row>
    <row r="48" spans="1:55" ht="54" customHeight="1" x14ac:dyDescent="0.25">
      <c r="A48" s="1488" t="s">
        <v>617</v>
      </c>
      <c r="B48" s="1281"/>
      <c r="C48" s="1485" t="s">
        <v>1086</v>
      </c>
      <c r="D48" s="1486"/>
      <c r="E48" s="1486"/>
      <c r="F48" s="1486"/>
      <c r="G48" s="1486"/>
      <c r="H48" s="1486"/>
      <c r="I48" s="1486"/>
      <c r="J48" s="1487"/>
      <c r="R48" s="400"/>
      <c r="S48" s="400"/>
      <c r="T48" s="400"/>
      <c r="U48" s="400"/>
      <c r="V48" s="400"/>
      <c r="W48" s="400"/>
      <c r="X48" s="400"/>
      <c r="Y48" s="400"/>
      <c r="Z48" s="400"/>
      <c r="AA48" s="400"/>
      <c r="AB48" s="400"/>
      <c r="AC48" s="400"/>
      <c r="AD48" s="400"/>
      <c r="AE48" s="400"/>
      <c r="AF48" s="400"/>
      <c r="AG48" s="400"/>
      <c r="AH48" s="400"/>
      <c r="AI48" s="400"/>
      <c r="AJ48" s="400"/>
      <c r="AK48" s="400"/>
      <c r="AL48" s="400"/>
      <c r="AM48" s="400"/>
      <c r="AN48" s="400"/>
      <c r="AO48" s="400"/>
      <c r="AP48" s="400"/>
      <c r="AQ48" s="400"/>
      <c r="AR48" s="400"/>
      <c r="AS48" s="400"/>
      <c r="AT48" s="400"/>
      <c r="AU48" s="400"/>
      <c r="AV48" s="400"/>
      <c r="AW48" s="400"/>
      <c r="AX48" s="400"/>
      <c r="AY48" s="400"/>
      <c r="AZ48" s="400"/>
    </row>
    <row r="49" spans="1:52" ht="15.75" customHeight="1" x14ac:dyDescent="0.25">
      <c r="A49" s="651"/>
      <c r="B49" s="651"/>
      <c r="C49" s="1485" t="s">
        <v>594</v>
      </c>
      <c r="D49" s="1486"/>
      <c r="E49" s="1486"/>
      <c r="F49" s="1486"/>
      <c r="G49" s="1486"/>
      <c r="H49" s="1486"/>
      <c r="I49" s="1486"/>
      <c r="J49" s="1487"/>
      <c r="R49" s="400"/>
      <c r="S49" s="400"/>
      <c r="T49" s="400"/>
      <c r="U49" s="400"/>
      <c r="V49" s="400"/>
      <c r="W49" s="400"/>
      <c r="X49" s="400"/>
      <c r="Y49" s="400"/>
      <c r="Z49" s="400"/>
      <c r="AA49" s="400"/>
      <c r="AB49" s="400"/>
      <c r="AC49" s="400"/>
      <c r="AD49" s="400"/>
      <c r="AE49" s="400"/>
      <c r="AF49" s="400"/>
      <c r="AG49" s="400"/>
      <c r="AH49" s="400"/>
      <c r="AI49" s="400"/>
      <c r="AJ49" s="400"/>
      <c r="AK49" s="400"/>
      <c r="AL49" s="400"/>
      <c r="AM49" s="400"/>
      <c r="AN49" s="400"/>
      <c r="AO49" s="400"/>
      <c r="AP49" s="400"/>
      <c r="AQ49" s="400"/>
      <c r="AR49" s="400"/>
      <c r="AS49" s="400"/>
      <c r="AT49" s="400"/>
      <c r="AU49" s="400"/>
      <c r="AV49" s="400"/>
      <c r="AW49" s="400"/>
      <c r="AX49" s="400"/>
      <c r="AY49" s="400"/>
      <c r="AZ49" s="400"/>
    </row>
    <row r="50" spans="1:52" ht="20.25" customHeight="1" x14ac:dyDescent="0.25">
      <c r="A50" s="400"/>
      <c r="B50" s="400"/>
      <c r="C50" s="400"/>
      <c r="D50" s="400"/>
      <c r="E50" s="400"/>
      <c r="F50" s="400"/>
      <c r="G50" s="400"/>
      <c r="H50" s="400"/>
      <c r="I50" s="400"/>
      <c r="J50" s="400"/>
      <c r="R50" s="400"/>
      <c r="S50" s="400"/>
      <c r="T50" s="400"/>
      <c r="U50" s="400"/>
      <c r="V50" s="400"/>
      <c r="W50" s="400"/>
      <c r="X50" s="400"/>
      <c r="Y50" s="400"/>
      <c r="Z50" s="400"/>
      <c r="AA50" s="400"/>
      <c r="AB50" s="400"/>
      <c r="AC50" s="400"/>
      <c r="AD50" s="400"/>
      <c r="AE50" s="400"/>
      <c r="AF50" s="400"/>
      <c r="AG50" s="400"/>
      <c r="AH50" s="400"/>
      <c r="AI50" s="400"/>
      <c r="AJ50" s="400"/>
      <c r="AK50" s="400"/>
      <c r="AL50" s="400"/>
      <c r="AM50" s="400"/>
      <c r="AN50" s="400"/>
      <c r="AO50" s="400"/>
      <c r="AP50" s="400"/>
      <c r="AQ50" s="400"/>
      <c r="AR50" s="400"/>
      <c r="AS50" s="400"/>
      <c r="AT50" s="400"/>
      <c r="AU50" s="400"/>
      <c r="AV50" s="400"/>
      <c r="AW50" s="400"/>
      <c r="AX50" s="400"/>
      <c r="AY50" s="400"/>
      <c r="AZ50" s="400"/>
    </row>
    <row r="51" spans="1:52" ht="15.75" customHeight="1" x14ac:dyDescent="0.25">
      <c r="A51" s="400"/>
      <c r="B51" s="400"/>
      <c r="D51" s="400"/>
      <c r="E51" s="400"/>
      <c r="F51" s="400"/>
      <c r="G51" s="400"/>
      <c r="H51" s="400"/>
      <c r="I51" s="400"/>
      <c r="J51" s="400"/>
    </row>
    <row r="52" spans="1:52" ht="15.75" customHeight="1" x14ac:dyDescent="0.25">
      <c r="A52" s="516"/>
      <c r="B52" s="441"/>
      <c r="C52" s="517"/>
      <c r="D52" s="518"/>
    </row>
    <row r="53" spans="1:52" ht="15.75" customHeight="1" x14ac:dyDescent="0.25">
      <c r="A53" s="516"/>
      <c r="B53" s="442"/>
      <c r="C53" s="19"/>
      <c r="D53" s="19"/>
    </row>
    <row r="54" spans="1:52" ht="15.75" customHeight="1" x14ac:dyDescent="0.25">
      <c r="A54" s="516"/>
      <c r="B54" s="442"/>
      <c r="C54" s="19"/>
      <c r="D54" s="19"/>
    </row>
    <row r="55" spans="1:52" ht="15.75" customHeight="1" x14ac:dyDescent="0.25">
      <c r="A55" s="80"/>
      <c r="B55" s="442"/>
      <c r="C55" s="459"/>
      <c r="D55" s="459"/>
    </row>
    <row r="56" spans="1:52" ht="15.75" customHeight="1" x14ac:dyDescent="0.25">
      <c r="Q56" s="122"/>
    </row>
    <row r="57" spans="1:52" ht="15.75" customHeight="1" x14ac:dyDescent="0.25">
      <c r="A57" s="147" t="s">
        <v>832</v>
      </c>
      <c r="Q57" s="122"/>
    </row>
    <row r="58" spans="1:52" ht="15.75" customHeight="1" x14ac:dyDescent="0.25"/>
    <row r="59" spans="1:52" ht="15.75" customHeight="1" x14ac:dyDescent="0.25">
      <c r="A59" s="665" t="s">
        <v>830</v>
      </c>
      <c r="B59" s="665"/>
      <c r="C59" s="124"/>
      <c r="D59" s="1382"/>
      <c r="E59" s="1382"/>
      <c r="F59" s="240"/>
    </row>
    <row r="60" spans="1:52" ht="15.75" customHeight="1" x14ac:dyDescent="0.25">
      <c r="A60" s="665"/>
      <c r="B60" s="665"/>
      <c r="C60" s="312" t="s">
        <v>177</v>
      </c>
      <c r="D60" s="312" t="s">
        <v>290</v>
      </c>
      <c r="E60" s="1484" t="s">
        <v>834</v>
      </c>
      <c r="F60" s="1267"/>
      <c r="R60" s="122"/>
      <c r="S60" s="122"/>
      <c r="T60" s="122"/>
      <c r="U60" s="122"/>
      <c r="V60" s="122"/>
      <c r="W60" s="122"/>
      <c r="X60" s="122"/>
      <c r="Y60" s="122"/>
      <c r="Z60" s="122"/>
      <c r="AA60" s="122"/>
      <c r="AB60" s="122"/>
      <c r="AC60" s="122"/>
      <c r="AD60" s="122"/>
      <c r="AE60" s="122"/>
      <c r="AF60" s="122"/>
      <c r="AG60" s="122"/>
      <c r="AH60" s="122"/>
      <c r="AI60" s="122"/>
      <c r="AJ60" s="122"/>
      <c r="AK60" s="122"/>
      <c r="AL60" s="122"/>
      <c r="AM60" s="122"/>
      <c r="AN60" s="122"/>
      <c r="AO60" s="122"/>
      <c r="AP60" s="122"/>
      <c r="AQ60" s="122"/>
      <c r="AR60" s="122"/>
      <c r="AS60" s="122"/>
      <c r="AT60" s="122"/>
      <c r="AU60" s="122"/>
      <c r="AV60" s="122"/>
      <c r="AW60" s="122"/>
      <c r="AX60" s="122"/>
      <c r="AY60" s="122"/>
      <c r="AZ60" s="122"/>
    </row>
    <row r="61" spans="1:52" ht="15.75" customHeight="1" x14ac:dyDescent="0.25">
      <c r="A61" s="166" t="s">
        <v>805</v>
      </c>
      <c r="B61" s="166"/>
      <c r="C61" s="744">
        <v>0</v>
      </c>
      <c r="D61" s="744">
        <v>0</v>
      </c>
      <c r="E61" s="179">
        <v>0</v>
      </c>
      <c r="F61" s="129"/>
      <c r="R61" s="122"/>
      <c r="S61" s="122"/>
      <c r="T61" s="122"/>
      <c r="U61" s="122"/>
      <c r="V61" s="122"/>
      <c r="W61" s="122"/>
      <c r="X61" s="122"/>
      <c r="Y61" s="122"/>
      <c r="Z61" s="122"/>
      <c r="AA61" s="122"/>
      <c r="AB61" s="122"/>
      <c r="AC61" s="122"/>
      <c r="AD61" s="122"/>
      <c r="AE61" s="122"/>
      <c r="AF61" s="122"/>
      <c r="AG61" s="122"/>
      <c r="AH61" s="122"/>
      <c r="AI61" s="122"/>
      <c r="AJ61" s="122"/>
      <c r="AK61" s="122"/>
      <c r="AL61" s="122"/>
      <c r="AM61" s="122"/>
      <c r="AN61" s="122"/>
      <c r="AO61" s="122"/>
      <c r="AP61" s="122"/>
      <c r="AQ61" s="122"/>
      <c r="AR61" s="122"/>
      <c r="AS61" s="122"/>
      <c r="AT61" s="122"/>
      <c r="AU61" s="122"/>
      <c r="AV61" s="122"/>
      <c r="AW61" s="122"/>
      <c r="AX61" s="122"/>
      <c r="AY61" s="122"/>
      <c r="AZ61" s="122"/>
    </row>
    <row r="62" spans="1:52" ht="15.75" customHeight="1" x14ac:dyDescent="0.25">
      <c r="A62" s="166" t="s">
        <v>293</v>
      </c>
      <c r="B62" s="166"/>
      <c r="C62" s="744">
        <v>15.5</v>
      </c>
      <c r="D62" s="744">
        <v>0</v>
      </c>
      <c r="E62" s="179">
        <v>100</v>
      </c>
      <c r="F62" s="129"/>
      <c r="V62" s="147"/>
    </row>
    <row r="63" spans="1:52" ht="15.75" customHeight="1" x14ac:dyDescent="0.25">
      <c r="A63" s="166" t="s">
        <v>841</v>
      </c>
      <c r="B63" s="166"/>
      <c r="C63" s="744">
        <v>27</v>
      </c>
      <c r="D63" s="744">
        <v>0</v>
      </c>
      <c r="E63" s="179">
        <v>100</v>
      </c>
      <c r="F63" s="129"/>
    </row>
    <row r="64" spans="1:52" ht="15.75" customHeight="1" x14ac:dyDescent="0.25">
      <c r="A64" s="166" t="s">
        <v>845</v>
      </c>
      <c r="B64" s="166"/>
      <c r="C64" s="744">
        <v>24</v>
      </c>
      <c r="D64" s="744">
        <v>0</v>
      </c>
      <c r="E64" s="179">
        <v>100</v>
      </c>
      <c r="F64" s="129"/>
      <c r="U64" s="665"/>
      <c r="V64" s="665"/>
      <c r="W64" s="124"/>
      <c r="X64" s="124"/>
      <c r="Z64" s="240"/>
    </row>
    <row r="65" spans="1:26" ht="15.75" customHeight="1" x14ac:dyDescent="0.25">
      <c r="A65" s="166" t="s">
        <v>294</v>
      </c>
      <c r="B65" s="166"/>
      <c r="C65" s="744">
        <v>24</v>
      </c>
      <c r="D65" s="744">
        <v>0</v>
      </c>
      <c r="E65" s="179">
        <v>100</v>
      </c>
      <c r="F65" s="129"/>
      <c r="U65" s="665"/>
      <c r="V65" s="665"/>
      <c r="W65" s="124"/>
      <c r="X65" s="519"/>
      <c r="Y65" s="519"/>
      <c r="Z65" s="701"/>
    </row>
    <row r="66" spans="1:26" ht="15.75" customHeight="1" x14ac:dyDescent="0.25">
      <c r="A66" s="166" t="s">
        <v>842</v>
      </c>
      <c r="B66" s="166"/>
      <c r="C66" s="744">
        <v>26</v>
      </c>
      <c r="D66" s="744">
        <v>0</v>
      </c>
      <c r="E66" s="179">
        <v>100</v>
      </c>
      <c r="F66" s="129"/>
      <c r="U66" s="166"/>
      <c r="V66" s="166"/>
      <c r="W66" s="124"/>
      <c r="X66" s="123"/>
      <c r="Y66" s="123"/>
      <c r="Z66" s="129"/>
    </row>
    <row r="67" spans="1:26" ht="15.75" customHeight="1" x14ac:dyDescent="0.25">
      <c r="A67" s="166" t="s">
        <v>846</v>
      </c>
      <c r="B67" s="166"/>
      <c r="C67" s="744">
        <v>21</v>
      </c>
      <c r="D67" s="744">
        <v>0</v>
      </c>
      <c r="E67" s="179">
        <v>100</v>
      </c>
      <c r="F67" s="129"/>
      <c r="U67" s="166"/>
      <c r="V67" s="166"/>
      <c r="W67" s="124"/>
      <c r="X67" s="123"/>
      <c r="Y67" s="123"/>
      <c r="Z67" s="129"/>
    </row>
    <row r="68" spans="1:26" ht="15.75" customHeight="1" x14ac:dyDescent="0.25">
      <c r="A68" s="166" t="s">
        <v>843</v>
      </c>
      <c r="B68" s="166"/>
      <c r="C68" s="744">
        <v>33</v>
      </c>
      <c r="D68" s="744">
        <v>0</v>
      </c>
      <c r="E68" s="179">
        <v>100</v>
      </c>
      <c r="F68" s="129"/>
      <c r="U68" s="166"/>
      <c r="V68" s="166"/>
      <c r="W68" s="124"/>
      <c r="X68" s="123"/>
      <c r="Y68" s="123"/>
      <c r="Z68" s="129"/>
    </row>
    <row r="69" spans="1:26" ht="15.75" customHeight="1" x14ac:dyDescent="0.25">
      <c r="A69" s="166" t="s">
        <v>844</v>
      </c>
      <c r="B69" s="166"/>
      <c r="C69" s="167">
        <v>38</v>
      </c>
      <c r="D69" s="744">
        <v>0</v>
      </c>
      <c r="E69" s="179">
        <v>100</v>
      </c>
      <c r="F69" s="129"/>
      <c r="U69" s="166"/>
      <c r="V69" s="166"/>
      <c r="W69" s="124"/>
      <c r="X69" s="123"/>
      <c r="Y69" s="123"/>
      <c r="Z69" s="129"/>
    </row>
    <row r="70" spans="1:26" ht="15.75" customHeight="1" x14ac:dyDescent="0.25">
      <c r="A70" s="166" t="s">
        <v>295</v>
      </c>
      <c r="B70" s="166"/>
      <c r="C70" s="744">
        <v>46</v>
      </c>
      <c r="D70" s="744">
        <v>0</v>
      </c>
      <c r="E70" s="179">
        <v>100</v>
      </c>
      <c r="F70" s="129"/>
      <c r="U70" s="166"/>
      <c r="V70" s="166"/>
      <c r="W70" s="124"/>
      <c r="X70" s="123"/>
      <c r="Y70" s="123"/>
      <c r="Z70" s="129"/>
    </row>
    <row r="71" spans="1:26" ht="15.75" customHeight="1" x14ac:dyDescent="0.25">
      <c r="A71" s="166" t="s">
        <v>806</v>
      </c>
      <c r="B71" s="166"/>
      <c r="C71" s="744">
        <v>28</v>
      </c>
      <c r="D71" s="744">
        <v>0</v>
      </c>
      <c r="E71" s="179">
        <v>100</v>
      </c>
      <c r="F71" s="129"/>
      <c r="U71" s="166"/>
      <c r="V71" s="166"/>
      <c r="W71" s="124"/>
      <c r="X71" s="123"/>
      <c r="Y71" s="123"/>
      <c r="Z71" s="129"/>
    </row>
    <row r="72" spans="1:26" ht="15.75" customHeight="1" x14ac:dyDescent="0.25">
      <c r="A72" s="166" t="s">
        <v>807</v>
      </c>
      <c r="B72" s="166"/>
      <c r="C72" s="167">
        <v>30</v>
      </c>
      <c r="D72" s="744">
        <v>0</v>
      </c>
      <c r="E72" s="179">
        <v>100</v>
      </c>
      <c r="F72" s="129"/>
      <c r="U72" s="166"/>
      <c r="V72" s="166"/>
      <c r="W72" s="124"/>
      <c r="X72" s="123"/>
      <c r="Y72" s="123"/>
      <c r="Z72" s="129"/>
    </row>
    <row r="73" spans="1:26" ht="15.75" customHeight="1" x14ac:dyDescent="0.25">
      <c r="A73" s="166" t="s">
        <v>296</v>
      </c>
      <c r="B73" s="166"/>
      <c r="C73" s="744">
        <v>8</v>
      </c>
      <c r="D73" s="744">
        <v>0</v>
      </c>
      <c r="E73" s="179">
        <v>100</v>
      </c>
      <c r="F73" s="129"/>
      <c r="U73" s="166"/>
      <c r="V73" s="166"/>
      <c r="W73" s="124"/>
      <c r="X73" s="123"/>
      <c r="Y73" s="123"/>
      <c r="Z73" s="129"/>
    </row>
    <row r="74" spans="1:26" ht="15.75" customHeight="1" x14ac:dyDescent="0.25">
      <c r="A74" s="166" t="s">
        <v>847</v>
      </c>
      <c r="B74" s="166"/>
      <c r="C74" s="744">
        <v>15</v>
      </c>
      <c r="D74" s="744">
        <v>0</v>
      </c>
      <c r="E74" s="179">
        <v>100</v>
      </c>
      <c r="F74" s="129"/>
      <c r="U74" s="166"/>
      <c r="V74" s="166"/>
      <c r="W74" s="124"/>
      <c r="X74" s="123"/>
      <c r="Y74" s="123"/>
      <c r="Z74" s="129"/>
    </row>
    <row r="75" spans="1:26" ht="15.75" customHeight="1" x14ac:dyDescent="0.25">
      <c r="A75" s="166" t="s">
        <v>297</v>
      </c>
      <c r="B75" s="166"/>
      <c r="C75" s="744">
        <v>19.8</v>
      </c>
      <c r="D75" s="744">
        <v>0</v>
      </c>
      <c r="E75" s="179">
        <v>100</v>
      </c>
      <c r="F75" s="129"/>
      <c r="U75" s="166"/>
      <c r="V75" s="166"/>
      <c r="W75" s="124"/>
      <c r="X75" s="123"/>
      <c r="Y75" s="123"/>
      <c r="Z75" s="129"/>
    </row>
    <row r="76" spans="1:26" ht="15.75" customHeight="1" x14ac:dyDescent="0.25">
      <c r="A76" s="166" t="s">
        <v>808</v>
      </c>
      <c r="B76" s="166"/>
      <c r="C76" s="744">
        <v>20</v>
      </c>
      <c r="D76" s="744">
        <v>20</v>
      </c>
      <c r="E76" s="179">
        <v>100</v>
      </c>
      <c r="F76" s="129"/>
      <c r="U76" s="166"/>
      <c r="V76" s="166"/>
      <c r="W76" s="124"/>
      <c r="X76" s="123"/>
      <c r="Y76" s="123"/>
      <c r="Z76" s="129"/>
    </row>
    <row r="77" spans="1:26" ht="15.75" customHeight="1" x14ac:dyDescent="0.25">
      <c r="A77" s="166" t="s">
        <v>809</v>
      </c>
      <c r="B77" s="166"/>
      <c r="C77" s="744">
        <v>10</v>
      </c>
      <c r="D77" s="744">
        <v>34</v>
      </c>
      <c r="E77" s="179">
        <v>100</v>
      </c>
      <c r="F77" s="129"/>
      <c r="U77" s="166"/>
      <c r="V77" s="166"/>
      <c r="W77" s="124"/>
      <c r="X77" s="123"/>
      <c r="Y77" s="123"/>
      <c r="Z77" s="129"/>
    </row>
    <row r="78" spans="1:26" ht="15.75" customHeight="1" x14ac:dyDescent="0.25">
      <c r="A78" s="166" t="s">
        <v>848</v>
      </c>
      <c r="B78" s="166"/>
      <c r="C78" s="744">
        <v>18</v>
      </c>
      <c r="D78" s="744">
        <v>46</v>
      </c>
      <c r="E78" s="179">
        <v>100</v>
      </c>
      <c r="F78" s="129"/>
      <c r="U78" s="166"/>
      <c r="V78" s="166"/>
      <c r="W78" s="124"/>
      <c r="X78" s="123"/>
      <c r="Y78" s="123"/>
      <c r="Z78" s="129"/>
    </row>
    <row r="79" spans="1:26" ht="15.75" customHeight="1" x14ac:dyDescent="0.25">
      <c r="A79" s="166" t="s">
        <v>810</v>
      </c>
      <c r="B79" s="166"/>
      <c r="C79" s="744">
        <v>15</v>
      </c>
      <c r="D79" s="744">
        <v>15</v>
      </c>
      <c r="E79" s="179">
        <v>100</v>
      </c>
      <c r="F79" s="129"/>
      <c r="U79" s="166"/>
      <c r="V79" s="166"/>
      <c r="W79" s="124"/>
      <c r="X79" s="123"/>
      <c r="Y79" s="123"/>
      <c r="Z79" s="129"/>
    </row>
    <row r="80" spans="1:26" ht="15.75" customHeight="1" x14ac:dyDescent="0.25">
      <c r="A80" s="166" t="s">
        <v>811</v>
      </c>
      <c r="B80" s="166"/>
      <c r="C80" s="167">
        <v>13</v>
      </c>
      <c r="D80" s="167">
        <v>13</v>
      </c>
      <c r="E80" s="179">
        <v>100</v>
      </c>
      <c r="F80" s="129"/>
      <c r="U80" s="166"/>
      <c r="V80" s="166"/>
      <c r="W80" s="124"/>
      <c r="X80" s="123"/>
      <c r="Y80" s="123"/>
      <c r="Z80" s="129"/>
    </row>
    <row r="81" spans="1:31" ht="15.75" customHeight="1" x14ac:dyDescent="0.25">
      <c r="A81" s="166" t="s">
        <v>812</v>
      </c>
      <c r="B81" s="166"/>
      <c r="C81" s="763">
        <v>20</v>
      </c>
      <c r="D81" s="763">
        <v>8</v>
      </c>
      <c r="E81" s="179">
        <v>100</v>
      </c>
      <c r="F81" s="129"/>
      <c r="U81" s="166"/>
      <c r="V81" s="166"/>
      <c r="W81" s="124"/>
      <c r="X81" s="123"/>
      <c r="Y81" s="123"/>
      <c r="Z81" s="129"/>
    </row>
    <row r="82" spans="1:31" ht="15.75" customHeight="1" x14ac:dyDescent="0.25">
      <c r="A82" s="166" t="s">
        <v>298</v>
      </c>
      <c r="B82" s="166"/>
      <c r="C82" s="762">
        <v>0</v>
      </c>
      <c r="D82" s="744">
        <v>18</v>
      </c>
      <c r="E82" s="179">
        <v>100</v>
      </c>
      <c r="F82" s="129"/>
      <c r="U82" s="166"/>
      <c r="V82" s="166"/>
      <c r="W82" s="124"/>
      <c r="X82" s="123"/>
      <c r="Y82" s="123"/>
      <c r="Z82" s="129"/>
    </row>
    <row r="83" spans="1:31" s="112" customFormat="1" ht="15.75" customHeight="1" x14ac:dyDescent="0.25">
      <c r="A83" s="166" t="s">
        <v>849</v>
      </c>
      <c r="B83" s="166"/>
      <c r="C83" s="762">
        <v>0</v>
      </c>
      <c r="D83" s="744">
        <v>46</v>
      </c>
      <c r="E83" s="179">
        <v>100</v>
      </c>
      <c r="F83" s="129"/>
      <c r="G83" s="80"/>
      <c r="H83" s="80"/>
      <c r="I83" s="80"/>
      <c r="J83" s="80"/>
      <c r="K83" s="80"/>
      <c r="L83" s="80"/>
      <c r="M83" s="80"/>
      <c r="N83" s="80"/>
      <c r="O83" s="80"/>
      <c r="P83" s="80"/>
      <c r="Q83" s="80"/>
      <c r="R83" s="80"/>
      <c r="S83" s="80"/>
      <c r="T83" s="80"/>
      <c r="U83" s="166"/>
      <c r="V83" s="166"/>
      <c r="W83" s="124"/>
      <c r="X83" s="123"/>
      <c r="Y83" s="123"/>
      <c r="Z83" s="129"/>
      <c r="AA83" s="80"/>
      <c r="AB83" s="80"/>
      <c r="AC83" s="80"/>
      <c r="AD83" s="80"/>
      <c r="AE83" s="80"/>
    </row>
    <row r="84" spans="1:31" s="112" customFormat="1" ht="15.75" customHeight="1" x14ac:dyDescent="0.25">
      <c r="A84" s="166" t="s">
        <v>1125</v>
      </c>
      <c r="B84" s="166"/>
      <c r="C84" s="762">
        <v>0</v>
      </c>
      <c r="D84" s="762">
        <v>0</v>
      </c>
      <c r="E84" s="179">
        <v>100</v>
      </c>
      <c r="F84" s="129"/>
      <c r="G84" s="80"/>
      <c r="H84" s="80"/>
      <c r="I84" s="80"/>
      <c r="J84" s="80"/>
      <c r="K84" s="80"/>
      <c r="L84" s="80"/>
      <c r="M84" s="80"/>
      <c r="N84" s="80"/>
      <c r="O84" s="80"/>
      <c r="P84" s="80"/>
      <c r="Q84" s="80"/>
      <c r="R84" s="80"/>
      <c r="S84" s="80"/>
      <c r="T84" s="80"/>
      <c r="U84" s="166"/>
      <c r="V84" s="166"/>
      <c r="W84" s="124"/>
      <c r="X84" s="123"/>
      <c r="Y84" s="123"/>
      <c r="Z84" s="129"/>
      <c r="AA84" s="80"/>
      <c r="AB84" s="80"/>
      <c r="AC84" s="80"/>
      <c r="AD84" s="80"/>
      <c r="AE84" s="80"/>
    </row>
    <row r="85" spans="1:31" s="112" customFormat="1" ht="15.75" customHeight="1" x14ac:dyDescent="0.25">
      <c r="A85" s="166" t="s">
        <v>1126</v>
      </c>
      <c r="B85" s="166"/>
      <c r="C85" s="762">
        <v>0</v>
      </c>
      <c r="D85" s="762">
        <v>0</v>
      </c>
      <c r="E85" s="179">
        <v>100</v>
      </c>
      <c r="F85" s="129"/>
      <c r="G85" s="80"/>
      <c r="H85" s="80"/>
      <c r="I85" s="80"/>
      <c r="J85" s="80"/>
      <c r="K85" s="80"/>
      <c r="L85" s="80"/>
      <c r="M85" s="80"/>
      <c r="N85" s="80"/>
      <c r="O85" s="80"/>
      <c r="P85" s="80"/>
      <c r="Q85" s="80"/>
      <c r="R85" s="80"/>
      <c r="S85" s="80"/>
      <c r="T85" s="80"/>
      <c r="U85" s="166"/>
      <c r="V85" s="166"/>
      <c r="W85" s="124"/>
      <c r="X85" s="123"/>
      <c r="Y85" s="123"/>
      <c r="Z85" s="129"/>
      <c r="AA85" s="80"/>
      <c r="AB85" s="80"/>
      <c r="AC85" s="80"/>
      <c r="AD85" s="80"/>
      <c r="AE85" s="80"/>
    </row>
    <row r="86" spans="1:31" s="112" customFormat="1" ht="15.75" customHeight="1" x14ac:dyDescent="0.25">
      <c r="A86" s="166" t="s">
        <v>1127</v>
      </c>
      <c r="B86" s="166"/>
      <c r="C86" s="762">
        <v>0</v>
      </c>
      <c r="D86" s="762">
        <v>0</v>
      </c>
      <c r="E86" s="179">
        <v>100</v>
      </c>
      <c r="F86" s="129"/>
      <c r="G86" s="80"/>
      <c r="H86" s="80"/>
      <c r="I86" s="80"/>
      <c r="J86" s="80"/>
      <c r="K86" s="80"/>
      <c r="L86" s="80"/>
      <c r="M86" s="80"/>
      <c r="N86" s="80"/>
      <c r="O86" s="80"/>
      <c r="P86" s="80"/>
      <c r="Q86" s="80"/>
      <c r="R86" s="80"/>
      <c r="S86" s="80"/>
      <c r="T86" s="80"/>
      <c r="U86" s="166"/>
      <c r="V86" s="166"/>
      <c r="W86" s="124"/>
      <c r="X86" s="123"/>
      <c r="Y86" s="123"/>
      <c r="Z86" s="129"/>
      <c r="AA86" s="80"/>
      <c r="AB86" s="80"/>
      <c r="AC86" s="80"/>
      <c r="AD86" s="80"/>
      <c r="AE86" s="80"/>
    </row>
    <row r="87" spans="1:31" s="112" customFormat="1" ht="15.75" customHeight="1" x14ac:dyDescent="0.25">
      <c r="A87" s="166" t="s">
        <v>1128</v>
      </c>
      <c r="B87" s="166"/>
      <c r="C87" s="762">
        <v>0</v>
      </c>
      <c r="D87" s="762">
        <v>0</v>
      </c>
      <c r="E87" s="179">
        <v>100</v>
      </c>
      <c r="F87" s="129"/>
      <c r="G87" s="80"/>
      <c r="H87" s="80"/>
      <c r="I87" s="80"/>
      <c r="J87" s="80"/>
      <c r="K87" s="80"/>
      <c r="L87" s="80"/>
      <c r="M87" s="80"/>
      <c r="N87" s="80"/>
      <c r="O87" s="80"/>
      <c r="P87" s="80"/>
      <c r="Q87" s="80"/>
      <c r="R87" s="80"/>
      <c r="S87" s="80"/>
      <c r="T87" s="80"/>
      <c r="U87" s="166"/>
      <c r="V87" s="166"/>
      <c r="W87" s="124"/>
      <c r="X87" s="124"/>
      <c r="Y87" s="123"/>
      <c r="Z87" s="129"/>
      <c r="AA87" s="80"/>
      <c r="AB87" s="80"/>
      <c r="AC87" s="80"/>
      <c r="AD87" s="80"/>
      <c r="AE87" s="80"/>
    </row>
    <row r="88" spans="1:31" s="112" customFormat="1" ht="15.75" customHeight="1" x14ac:dyDescent="0.25">
      <c r="A88" s="149" t="s">
        <v>184</v>
      </c>
      <c r="B88" s="149"/>
      <c r="C88" s="762">
        <v>0.33</v>
      </c>
      <c r="D88" s="762">
        <v>0.14000000000000001</v>
      </c>
      <c r="E88" s="179">
        <v>60</v>
      </c>
      <c r="F88" s="129"/>
      <c r="G88" s="80"/>
      <c r="H88" s="80"/>
      <c r="I88" s="80"/>
      <c r="J88" s="80"/>
      <c r="K88" s="80"/>
      <c r="L88" s="80"/>
      <c r="M88" s="80"/>
      <c r="N88" s="80"/>
      <c r="O88" s="80"/>
      <c r="P88" s="80"/>
      <c r="Q88" s="80"/>
      <c r="R88" s="80"/>
      <c r="S88" s="80"/>
      <c r="T88" s="80"/>
      <c r="U88" s="166"/>
      <c r="V88" s="166"/>
      <c r="W88" s="124"/>
      <c r="X88" s="124"/>
      <c r="Y88" s="123"/>
      <c r="Z88" s="129"/>
      <c r="AA88" s="80"/>
      <c r="AB88" s="80"/>
      <c r="AC88" s="80"/>
      <c r="AD88" s="80"/>
      <c r="AE88" s="80"/>
    </row>
    <row r="89" spans="1:31" s="112" customFormat="1" ht="15.75" customHeight="1" x14ac:dyDescent="0.25">
      <c r="A89" s="149" t="s">
        <v>185</v>
      </c>
      <c r="B89" s="149"/>
      <c r="C89" s="762">
        <v>0.4</v>
      </c>
      <c r="D89" s="762">
        <v>0.17</v>
      </c>
      <c r="E89" s="179">
        <v>70</v>
      </c>
      <c r="F89" s="129"/>
      <c r="G89" s="80"/>
      <c r="H89" s="80"/>
      <c r="I89" s="80"/>
      <c r="J89" s="80"/>
      <c r="K89" s="80"/>
      <c r="L89" s="80"/>
      <c r="M89" s="80"/>
      <c r="N89" s="80"/>
      <c r="O89" s="80"/>
      <c r="P89" s="80"/>
      <c r="Q89" s="80"/>
      <c r="R89" s="80"/>
      <c r="S89" s="80"/>
      <c r="T89" s="80"/>
      <c r="U89" s="166"/>
      <c r="V89" s="166"/>
      <c r="W89" s="124"/>
      <c r="X89" s="124"/>
      <c r="Y89" s="124"/>
      <c r="Z89" s="129"/>
      <c r="AA89" s="80"/>
      <c r="AB89" s="80"/>
      <c r="AC89" s="80"/>
      <c r="AD89" s="80"/>
      <c r="AE89" s="80"/>
    </row>
    <row r="90" spans="1:31" s="112" customFormat="1" ht="15.75" customHeight="1" x14ac:dyDescent="0.25">
      <c r="A90" s="149" t="s">
        <v>817</v>
      </c>
      <c r="B90" s="149"/>
      <c r="C90" s="762">
        <v>0.61</v>
      </c>
      <c r="D90" s="744">
        <v>0.33</v>
      </c>
      <c r="E90" s="179">
        <v>25</v>
      </c>
      <c r="F90" s="129"/>
      <c r="G90" s="80"/>
      <c r="H90" s="80"/>
      <c r="I90" s="80"/>
      <c r="J90" s="80"/>
      <c r="K90" s="80"/>
      <c r="L90" s="80"/>
      <c r="M90" s="80"/>
      <c r="N90" s="80"/>
      <c r="O90" s="80"/>
      <c r="P90" s="80"/>
      <c r="Q90" s="80"/>
      <c r="R90" s="80"/>
      <c r="S90" s="80"/>
      <c r="T90" s="80"/>
      <c r="U90" s="166"/>
      <c r="V90" s="166"/>
      <c r="W90" s="124"/>
      <c r="X90" s="124"/>
      <c r="Y90" s="124"/>
      <c r="Z90" s="129"/>
      <c r="AA90" s="80"/>
      <c r="AB90" s="80"/>
      <c r="AC90" s="80"/>
      <c r="AD90" s="80"/>
      <c r="AE90" s="80"/>
    </row>
    <row r="91" spans="1:31" s="112" customFormat="1" ht="15.75" customHeight="1" x14ac:dyDescent="0.25">
      <c r="A91" s="149" t="s">
        <v>840</v>
      </c>
      <c r="B91" s="149"/>
      <c r="C91" s="762">
        <v>0.26</v>
      </c>
      <c r="D91" s="744">
        <v>0.02</v>
      </c>
      <c r="E91" s="179">
        <v>90</v>
      </c>
      <c r="F91" s="129"/>
      <c r="G91" s="80"/>
      <c r="H91" s="80"/>
      <c r="I91" s="80"/>
      <c r="J91" s="80"/>
      <c r="K91" s="80"/>
      <c r="L91" s="80"/>
      <c r="M91" s="80"/>
      <c r="N91" s="80"/>
      <c r="O91" s="80"/>
      <c r="P91" s="80"/>
      <c r="Q91" s="80"/>
      <c r="R91" s="80"/>
      <c r="S91" s="80"/>
      <c r="T91" s="80"/>
      <c r="U91" s="166"/>
      <c r="V91" s="166"/>
      <c r="W91" s="124"/>
      <c r="X91" s="124"/>
      <c r="Y91" s="124"/>
      <c r="Z91" s="129"/>
      <c r="AA91" s="80"/>
      <c r="AB91" s="80"/>
      <c r="AC91" s="80"/>
      <c r="AD91" s="80"/>
      <c r="AE91" s="80"/>
    </row>
    <row r="92" spans="1:31" s="112" customFormat="1" ht="15.75" customHeight="1" x14ac:dyDescent="0.25">
      <c r="A92" s="149" t="s">
        <v>835</v>
      </c>
      <c r="B92" s="149"/>
      <c r="C92" s="762">
        <v>0.76</v>
      </c>
      <c r="D92" s="744">
        <v>0.66</v>
      </c>
      <c r="E92" s="179">
        <v>30</v>
      </c>
      <c r="F92" s="129"/>
      <c r="G92" s="80"/>
      <c r="H92" s="80"/>
      <c r="I92" s="80"/>
      <c r="J92" s="80"/>
      <c r="K92" s="80"/>
      <c r="L92" s="80"/>
      <c r="M92" s="80"/>
      <c r="N92" s="80"/>
      <c r="O92" s="80"/>
      <c r="P92" s="80"/>
      <c r="Q92" s="80"/>
      <c r="R92" s="80"/>
      <c r="S92" s="80"/>
      <c r="T92" s="80"/>
      <c r="U92" s="166"/>
      <c r="V92" s="166"/>
      <c r="W92" s="124"/>
      <c r="X92" s="124"/>
      <c r="Y92" s="124"/>
      <c r="Z92" s="129"/>
      <c r="AA92" s="80"/>
      <c r="AB92" s="80"/>
      <c r="AC92" s="80"/>
      <c r="AD92" s="80"/>
      <c r="AE92" s="80"/>
    </row>
    <row r="93" spans="1:31" s="112" customFormat="1" ht="15.75" customHeight="1" x14ac:dyDescent="0.25">
      <c r="A93" s="166" t="s">
        <v>836</v>
      </c>
      <c r="B93" s="166"/>
      <c r="C93" s="762">
        <v>0.45</v>
      </c>
      <c r="D93" s="744">
        <v>0.3</v>
      </c>
      <c r="E93" s="179">
        <v>25</v>
      </c>
      <c r="F93" s="129"/>
      <c r="G93" s="80"/>
      <c r="H93" s="80"/>
      <c r="I93" s="80"/>
      <c r="J93" s="80"/>
      <c r="K93" s="80"/>
      <c r="L93" s="80"/>
      <c r="M93" s="80"/>
      <c r="N93" s="80"/>
      <c r="O93" s="80"/>
      <c r="P93" s="80"/>
      <c r="Q93" s="80"/>
      <c r="R93" s="80"/>
      <c r="S93" s="80"/>
      <c r="T93" s="80"/>
      <c r="U93" s="149"/>
      <c r="V93" s="149"/>
      <c r="W93" s="124"/>
      <c r="X93" s="124"/>
      <c r="Y93" s="124"/>
      <c r="Z93" s="129"/>
      <c r="AA93" s="80"/>
      <c r="AB93" s="80"/>
      <c r="AC93" s="80"/>
      <c r="AD93" s="80"/>
      <c r="AE93" s="80"/>
    </row>
    <row r="94" spans="1:31" s="112" customFormat="1" ht="15.75" customHeight="1" x14ac:dyDescent="0.25">
      <c r="A94" s="15" t="s">
        <v>837</v>
      </c>
      <c r="B94" s="15"/>
      <c r="C94" s="762">
        <v>0</v>
      </c>
      <c r="D94" s="744">
        <v>0</v>
      </c>
      <c r="E94" s="179" t="s">
        <v>1129</v>
      </c>
      <c r="F94" s="129"/>
      <c r="G94" s="80"/>
      <c r="H94" s="80"/>
      <c r="I94" s="80"/>
      <c r="J94" s="80"/>
      <c r="K94" s="80"/>
      <c r="L94" s="80"/>
      <c r="M94" s="80"/>
      <c r="N94" s="80"/>
      <c r="O94" s="80"/>
      <c r="P94" s="80"/>
      <c r="Q94" s="80"/>
      <c r="R94" s="80"/>
      <c r="S94" s="80"/>
      <c r="T94" s="80"/>
      <c r="U94" s="149"/>
      <c r="V94" s="149"/>
      <c r="W94" s="124"/>
      <c r="X94" s="124"/>
      <c r="Y94" s="124"/>
      <c r="Z94" s="129"/>
      <c r="AA94" s="80"/>
      <c r="AB94" s="80"/>
      <c r="AC94" s="80"/>
      <c r="AD94" s="80"/>
      <c r="AE94" s="80"/>
    </row>
    <row r="95" spans="1:31" s="112" customFormat="1" ht="15.75" customHeight="1" x14ac:dyDescent="0.25">
      <c r="A95" s="15" t="s">
        <v>838</v>
      </c>
      <c r="B95" s="15"/>
      <c r="C95" s="762">
        <v>0</v>
      </c>
      <c r="D95" s="762">
        <v>0</v>
      </c>
      <c r="E95" s="162" t="s">
        <v>1129</v>
      </c>
      <c r="F95" s="240"/>
      <c r="G95" s="80"/>
      <c r="H95" s="80"/>
      <c r="I95" s="80"/>
      <c r="J95" s="80"/>
      <c r="K95" s="80"/>
      <c r="L95" s="80"/>
      <c r="M95" s="80"/>
      <c r="N95" s="80"/>
      <c r="O95" s="80"/>
      <c r="P95" s="80"/>
      <c r="Q95" s="80"/>
      <c r="R95" s="80"/>
      <c r="S95" s="80"/>
      <c r="T95" s="80"/>
      <c r="U95" s="149"/>
      <c r="V95" s="149"/>
      <c r="W95" s="124"/>
      <c r="X95" s="124"/>
      <c r="Y95" s="123"/>
      <c r="Z95" s="129"/>
      <c r="AA95" s="80"/>
      <c r="AB95" s="80"/>
      <c r="AC95" s="80"/>
      <c r="AD95" s="80"/>
      <c r="AE95" s="80"/>
    </row>
    <row r="96" spans="1:31" s="112" customFormat="1" ht="15.75" customHeight="1" x14ac:dyDescent="0.25">
      <c r="A96" s="15" t="s">
        <v>839</v>
      </c>
      <c r="B96" s="15"/>
      <c r="C96" s="762">
        <v>0</v>
      </c>
      <c r="D96" s="744">
        <v>0</v>
      </c>
      <c r="E96" s="179" t="s">
        <v>1129</v>
      </c>
      <c r="F96" s="129"/>
      <c r="G96" s="80"/>
      <c r="H96" s="80"/>
      <c r="I96" s="80"/>
      <c r="J96" s="80"/>
      <c r="K96" s="80"/>
      <c r="L96" s="80"/>
      <c r="M96" s="80"/>
      <c r="N96" s="80"/>
      <c r="O96" s="80"/>
      <c r="P96" s="80"/>
      <c r="Q96" s="80"/>
      <c r="R96" s="80"/>
      <c r="S96" s="80"/>
      <c r="T96" s="80"/>
      <c r="U96" s="149"/>
      <c r="V96" s="149"/>
      <c r="W96" s="124"/>
      <c r="X96" s="124"/>
      <c r="Y96" s="123"/>
      <c r="Z96" s="129"/>
      <c r="AA96" s="80"/>
      <c r="AB96" s="80"/>
      <c r="AC96" s="80"/>
      <c r="AD96" s="80"/>
      <c r="AE96" s="80"/>
    </row>
    <row r="97" spans="2:52" s="112" customFormat="1" ht="15.75" customHeight="1" x14ac:dyDescent="0.25">
      <c r="B97" s="80"/>
      <c r="C97" s="80"/>
      <c r="E97" s="80"/>
      <c r="F97" s="80"/>
      <c r="G97" s="80"/>
      <c r="H97" s="80"/>
      <c r="I97" s="80"/>
      <c r="J97" s="80"/>
      <c r="K97" s="80"/>
      <c r="L97" s="80"/>
      <c r="M97" s="80"/>
      <c r="N97" s="80"/>
      <c r="O97" s="80"/>
      <c r="P97" s="80"/>
      <c r="Q97" s="80"/>
      <c r="R97" s="80"/>
      <c r="S97" s="80"/>
      <c r="T97" s="80"/>
      <c r="U97" s="149"/>
      <c r="V97" s="149"/>
      <c r="W97" s="124"/>
      <c r="X97" s="124"/>
      <c r="Y97" s="123"/>
      <c r="Z97" s="129"/>
      <c r="AA97" s="80"/>
      <c r="AB97" s="80"/>
      <c r="AC97" s="80"/>
      <c r="AD97" s="80"/>
      <c r="AE97" s="80"/>
    </row>
    <row r="98" spans="2:52" s="112" customFormat="1" ht="15.75" customHeight="1" x14ac:dyDescent="0.25">
      <c r="B98" s="80"/>
      <c r="C98" s="80"/>
      <c r="E98" s="80"/>
      <c r="F98" s="80"/>
      <c r="G98" s="80"/>
      <c r="H98" s="80"/>
      <c r="I98" s="80"/>
      <c r="J98" s="80"/>
      <c r="K98" s="80"/>
      <c r="L98" s="80"/>
      <c r="M98" s="80"/>
      <c r="N98" s="80"/>
      <c r="O98" s="80"/>
      <c r="P98" s="80"/>
      <c r="Q98" s="80"/>
      <c r="R98" s="80"/>
      <c r="S98" s="80"/>
      <c r="T98" s="80"/>
      <c r="U98" s="166"/>
      <c r="V98" s="166"/>
      <c r="W98" s="124"/>
      <c r="X98" s="124"/>
      <c r="Y98" s="123"/>
      <c r="Z98" s="129"/>
      <c r="AA98" s="80"/>
      <c r="AB98" s="80"/>
      <c r="AC98" s="80"/>
      <c r="AD98" s="80"/>
      <c r="AE98" s="80"/>
    </row>
    <row r="99" spans="2:52" s="112" customFormat="1" ht="15.75" customHeight="1" x14ac:dyDescent="0.25">
      <c r="B99" s="80"/>
      <c r="C99" s="80"/>
      <c r="E99" s="80"/>
      <c r="F99" s="80"/>
      <c r="G99" s="80"/>
      <c r="H99" s="80"/>
      <c r="I99" s="80"/>
      <c r="J99" s="80"/>
      <c r="K99" s="80"/>
      <c r="L99" s="80"/>
      <c r="M99" s="80"/>
      <c r="N99" s="80"/>
      <c r="O99" s="80"/>
      <c r="P99" s="80"/>
      <c r="Q99" s="80"/>
      <c r="R99" s="80"/>
      <c r="S99" s="80"/>
      <c r="T99" s="80"/>
      <c r="U99" s="15"/>
      <c r="V99" s="15"/>
      <c r="W99" s="124"/>
      <c r="X99" s="124"/>
      <c r="Y99" s="123"/>
      <c r="Z99" s="129"/>
      <c r="AA99" s="80"/>
      <c r="AB99" s="80"/>
      <c r="AC99" s="80"/>
      <c r="AD99" s="80"/>
      <c r="AE99" s="80"/>
    </row>
    <row r="100" spans="2:52" ht="15.75" x14ac:dyDescent="0.25">
      <c r="C100" s="120" t="s">
        <v>183</v>
      </c>
      <c r="D100" s="121" t="s">
        <v>813</v>
      </c>
      <c r="U100" s="15"/>
      <c r="V100" s="15"/>
      <c r="W100" s="124"/>
      <c r="X100" s="124"/>
      <c r="Y100" s="124"/>
      <c r="Z100" s="240"/>
    </row>
    <row r="101" spans="2:52" ht="15.75" x14ac:dyDescent="0.25">
      <c r="C101" s="120" t="s">
        <v>179</v>
      </c>
      <c r="D101" s="60">
        <v>90</v>
      </c>
      <c r="U101" s="15"/>
      <c r="V101" s="15"/>
      <c r="W101" s="124"/>
      <c r="X101" s="124"/>
      <c r="Y101" s="123"/>
      <c r="Z101" s="129"/>
    </row>
    <row r="102" spans="2:52" ht="15.75" x14ac:dyDescent="0.25">
      <c r="C102" s="120" t="s">
        <v>814</v>
      </c>
      <c r="D102" s="60">
        <v>70</v>
      </c>
      <c r="V102" s="166"/>
      <c r="W102" s="166"/>
      <c r="AZ102" s="520"/>
    </row>
    <row r="103" spans="2:52" ht="15.75" x14ac:dyDescent="0.25">
      <c r="C103" s="120" t="s">
        <v>815</v>
      </c>
      <c r="D103" s="60">
        <v>70</v>
      </c>
      <c r="V103" s="166"/>
      <c r="W103" s="166"/>
      <c r="AZ103" s="520"/>
    </row>
    <row r="104" spans="2:52" ht="15.75" x14ac:dyDescent="0.25">
      <c r="C104" s="120" t="s">
        <v>819</v>
      </c>
      <c r="D104" s="519">
        <v>70</v>
      </c>
    </row>
    <row r="105" spans="2:52" ht="15.75" x14ac:dyDescent="0.25">
      <c r="C105" s="120" t="s">
        <v>820</v>
      </c>
      <c r="D105" s="519">
        <v>60</v>
      </c>
      <c r="Z105" s="120"/>
      <c r="AA105" s="120"/>
      <c r="AB105" s="120"/>
      <c r="AC105" s="120"/>
      <c r="AD105" s="120"/>
      <c r="AE105" s="120"/>
      <c r="AF105" s="120"/>
      <c r="AG105" s="120"/>
      <c r="AH105" s="120"/>
      <c r="AI105" s="120"/>
      <c r="AJ105" s="120"/>
      <c r="AK105" s="120"/>
      <c r="AL105" s="120"/>
      <c r="AM105" s="120"/>
      <c r="AN105" s="120"/>
      <c r="AO105" s="120"/>
      <c r="AP105" s="120"/>
      <c r="AQ105" s="120"/>
      <c r="AR105" s="120"/>
      <c r="AS105" s="120"/>
      <c r="AT105" s="120"/>
      <c r="AU105" s="120"/>
      <c r="AV105" s="120"/>
      <c r="AW105" s="120"/>
      <c r="AX105" s="120"/>
      <c r="AY105" s="120"/>
      <c r="AZ105" s="121"/>
    </row>
    <row r="106" spans="2:52" ht="15.75" x14ac:dyDescent="0.25">
      <c r="C106" s="120" t="s">
        <v>48</v>
      </c>
      <c r="D106" s="519">
        <v>60</v>
      </c>
      <c r="Z106" s="120"/>
      <c r="AA106" s="120"/>
      <c r="AB106" s="120"/>
      <c r="AC106" s="120"/>
      <c r="AD106" s="120"/>
      <c r="AE106" s="120"/>
      <c r="AF106" s="120"/>
      <c r="AG106" s="120"/>
      <c r="AH106" s="120"/>
      <c r="AI106" s="120"/>
      <c r="AJ106" s="120"/>
      <c r="AK106" s="120"/>
      <c r="AL106" s="120"/>
      <c r="AM106" s="120"/>
      <c r="AN106" s="120"/>
      <c r="AO106" s="120"/>
      <c r="AP106" s="120"/>
      <c r="AQ106" s="120"/>
      <c r="AR106" s="120"/>
      <c r="AS106" s="120"/>
      <c r="AT106" s="120"/>
      <c r="AU106" s="120"/>
      <c r="AV106" s="120"/>
      <c r="AW106" s="120"/>
      <c r="AX106" s="120"/>
      <c r="AY106" s="120"/>
      <c r="AZ106" s="60"/>
    </row>
    <row r="107" spans="2:52" ht="15.75" x14ac:dyDescent="0.25">
      <c r="C107" s="120" t="s">
        <v>821</v>
      </c>
      <c r="D107" s="60">
        <v>45</v>
      </c>
      <c r="Z107" s="120"/>
      <c r="AA107" s="120"/>
      <c r="AB107" s="120"/>
      <c r="AC107" s="120"/>
      <c r="AD107" s="120"/>
      <c r="AE107" s="120"/>
      <c r="AF107" s="120"/>
      <c r="AG107" s="120"/>
      <c r="AH107" s="120"/>
      <c r="AI107" s="120"/>
      <c r="AJ107" s="120"/>
      <c r="AK107" s="120"/>
      <c r="AL107" s="120"/>
      <c r="AM107" s="120"/>
      <c r="AN107" s="120"/>
      <c r="AO107" s="120"/>
      <c r="AP107" s="120"/>
      <c r="AQ107" s="120"/>
      <c r="AR107" s="120"/>
      <c r="AS107" s="120"/>
      <c r="AT107" s="120"/>
      <c r="AU107" s="120"/>
      <c r="AV107" s="120"/>
      <c r="AW107" s="120"/>
      <c r="AX107" s="120"/>
      <c r="AY107" s="120"/>
      <c r="AZ107" s="60"/>
    </row>
    <row r="108" spans="2:52" ht="15.75" x14ac:dyDescent="0.25">
      <c r="C108" s="120" t="s">
        <v>816</v>
      </c>
      <c r="D108" s="519">
        <v>30</v>
      </c>
      <c r="Z108" s="120"/>
      <c r="AA108" s="120"/>
      <c r="AB108" s="120"/>
      <c r="AC108" s="120"/>
      <c r="AD108" s="120"/>
      <c r="AE108" s="120"/>
      <c r="AF108" s="120"/>
      <c r="AG108" s="120"/>
      <c r="AH108" s="120"/>
      <c r="AI108" s="120"/>
      <c r="AJ108" s="120"/>
      <c r="AK108" s="120"/>
      <c r="AL108" s="120"/>
      <c r="AM108" s="120"/>
      <c r="AN108" s="120"/>
      <c r="AO108" s="120"/>
      <c r="AP108" s="120"/>
      <c r="AQ108" s="120"/>
      <c r="AR108" s="120"/>
      <c r="AS108" s="120"/>
      <c r="AT108" s="120"/>
      <c r="AU108" s="120"/>
      <c r="AV108" s="120"/>
      <c r="AW108" s="120"/>
      <c r="AX108" s="120"/>
      <c r="AY108" s="120"/>
      <c r="AZ108" s="60"/>
    </row>
    <row r="109" spans="2:52" ht="15.75" x14ac:dyDescent="0.25">
      <c r="C109" s="120" t="s">
        <v>822</v>
      </c>
      <c r="D109" s="519">
        <v>30</v>
      </c>
      <c r="Z109" s="120"/>
      <c r="AA109" s="120"/>
      <c r="AB109" s="120"/>
      <c r="AC109" s="120"/>
      <c r="AD109" s="120"/>
      <c r="AE109" s="120"/>
      <c r="AF109" s="120"/>
      <c r="AG109" s="120"/>
      <c r="AH109" s="120"/>
      <c r="AI109" s="120"/>
      <c r="AJ109" s="120"/>
      <c r="AK109" s="120"/>
      <c r="AL109" s="120"/>
      <c r="AM109" s="120"/>
      <c r="AN109" s="120"/>
      <c r="AO109" s="120"/>
      <c r="AP109" s="120"/>
      <c r="AQ109" s="120"/>
      <c r="AR109" s="120"/>
      <c r="AS109" s="120"/>
      <c r="AT109" s="120"/>
      <c r="AU109" s="120"/>
      <c r="AV109" s="120"/>
      <c r="AW109" s="120"/>
      <c r="AX109" s="120"/>
      <c r="AY109" s="120"/>
      <c r="AZ109" s="519"/>
    </row>
    <row r="110" spans="2:52" ht="15.75" x14ac:dyDescent="0.25">
      <c r="C110" s="120" t="s">
        <v>187</v>
      </c>
      <c r="D110" s="519">
        <v>30</v>
      </c>
      <c r="V110" s="166"/>
      <c r="W110" s="166"/>
      <c r="Y110" s="124"/>
      <c r="Z110" s="120"/>
      <c r="AA110" s="120"/>
      <c r="AB110" s="120"/>
      <c r="AC110" s="120"/>
      <c r="AD110" s="120"/>
      <c r="AE110" s="120"/>
      <c r="AF110" s="120"/>
      <c r="AG110" s="120"/>
      <c r="AH110" s="120"/>
      <c r="AI110" s="120"/>
      <c r="AJ110" s="120"/>
      <c r="AK110" s="120"/>
      <c r="AL110" s="120"/>
      <c r="AM110" s="120"/>
      <c r="AN110" s="120"/>
      <c r="AO110" s="120"/>
      <c r="AP110" s="120"/>
      <c r="AQ110" s="120"/>
      <c r="AR110" s="120"/>
      <c r="AS110" s="120"/>
      <c r="AT110" s="120"/>
      <c r="AU110" s="120"/>
      <c r="AV110" s="120"/>
      <c r="AW110" s="120"/>
      <c r="AX110" s="120"/>
      <c r="AY110" s="120"/>
      <c r="AZ110" s="519"/>
    </row>
    <row r="111" spans="2:52" ht="15.75" x14ac:dyDescent="0.25">
      <c r="C111" s="120" t="s">
        <v>823</v>
      </c>
      <c r="D111" s="519">
        <v>30</v>
      </c>
      <c r="V111" s="166"/>
      <c r="W111" s="166"/>
      <c r="Y111" s="124"/>
      <c r="Z111" s="120"/>
      <c r="AA111" s="120"/>
      <c r="AB111" s="120"/>
      <c r="AC111" s="120"/>
      <c r="AD111" s="120"/>
      <c r="AE111" s="120"/>
      <c r="AF111" s="120"/>
      <c r="AG111" s="120"/>
      <c r="AH111" s="120"/>
      <c r="AI111" s="120"/>
      <c r="AJ111" s="120"/>
      <c r="AK111" s="120"/>
      <c r="AL111" s="120"/>
      <c r="AM111" s="120"/>
      <c r="AN111" s="120"/>
      <c r="AO111" s="120"/>
      <c r="AP111" s="120"/>
      <c r="AQ111" s="120"/>
      <c r="AR111" s="120"/>
      <c r="AS111" s="120"/>
      <c r="AT111" s="120"/>
      <c r="AU111" s="120"/>
      <c r="AV111" s="120"/>
      <c r="AW111" s="120"/>
      <c r="AX111" s="120"/>
      <c r="AY111" s="120"/>
      <c r="AZ111" s="519"/>
    </row>
    <row r="112" spans="2:52" ht="15.75" x14ac:dyDescent="0.25">
      <c r="C112" s="120" t="s">
        <v>824</v>
      </c>
      <c r="D112" s="519">
        <v>30</v>
      </c>
      <c r="Z112" s="120"/>
      <c r="AA112" s="120"/>
      <c r="AB112" s="120"/>
      <c r="AC112" s="120"/>
      <c r="AD112" s="120"/>
      <c r="AE112" s="120"/>
      <c r="AF112" s="120"/>
      <c r="AG112" s="120"/>
      <c r="AH112" s="120"/>
      <c r="AI112" s="120"/>
      <c r="AJ112" s="120"/>
      <c r="AK112" s="120"/>
      <c r="AL112" s="120"/>
      <c r="AM112" s="120"/>
      <c r="AN112" s="120"/>
      <c r="AO112" s="120"/>
      <c r="AP112" s="120"/>
      <c r="AQ112" s="120"/>
      <c r="AR112" s="120"/>
      <c r="AS112" s="120"/>
      <c r="AT112" s="120"/>
      <c r="AU112" s="120"/>
      <c r="AV112" s="120"/>
      <c r="AW112" s="120"/>
      <c r="AX112" s="120"/>
      <c r="AY112" s="120"/>
      <c r="AZ112" s="60"/>
    </row>
    <row r="113" spans="3:52" ht="15.75" x14ac:dyDescent="0.25">
      <c r="C113" s="120" t="s">
        <v>825</v>
      </c>
      <c r="D113" s="519">
        <v>30</v>
      </c>
      <c r="Z113" s="120"/>
      <c r="AA113" s="120"/>
      <c r="AB113" s="120"/>
      <c r="AC113" s="120"/>
      <c r="AD113" s="120"/>
      <c r="AE113" s="120"/>
      <c r="AF113" s="120"/>
      <c r="AG113" s="120"/>
      <c r="AH113" s="120"/>
      <c r="AI113" s="120"/>
      <c r="AJ113" s="120"/>
      <c r="AK113" s="120"/>
      <c r="AL113" s="120"/>
      <c r="AM113" s="120"/>
      <c r="AN113" s="120"/>
      <c r="AO113" s="120"/>
      <c r="AP113" s="120"/>
      <c r="AQ113" s="120"/>
      <c r="AR113" s="120"/>
      <c r="AS113" s="120"/>
      <c r="AT113" s="120"/>
      <c r="AU113" s="120"/>
      <c r="AV113" s="120"/>
      <c r="AW113" s="120"/>
      <c r="AX113" s="120"/>
      <c r="AY113" s="120"/>
      <c r="AZ113" s="519"/>
    </row>
    <row r="114" spans="3:52" ht="15.75" x14ac:dyDescent="0.25">
      <c r="C114" s="120" t="s">
        <v>180</v>
      </c>
      <c r="D114" s="519">
        <v>25</v>
      </c>
      <c r="Z114" s="120"/>
      <c r="AA114" s="120"/>
      <c r="AB114" s="120"/>
      <c r="AC114" s="120"/>
      <c r="AD114" s="120"/>
      <c r="AE114" s="120"/>
      <c r="AF114" s="120"/>
      <c r="AG114" s="120"/>
      <c r="AH114" s="120"/>
      <c r="AI114" s="120"/>
      <c r="AJ114" s="120"/>
      <c r="AK114" s="120"/>
      <c r="AL114" s="120"/>
      <c r="AM114" s="120"/>
      <c r="AN114" s="120"/>
      <c r="AO114" s="120"/>
      <c r="AP114" s="120"/>
      <c r="AQ114" s="120"/>
      <c r="AR114" s="120"/>
      <c r="AS114" s="120"/>
      <c r="AT114" s="120"/>
      <c r="AU114" s="120"/>
      <c r="AV114" s="120"/>
      <c r="AW114" s="120"/>
      <c r="AX114" s="120"/>
      <c r="AY114" s="120"/>
      <c r="AZ114" s="519"/>
    </row>
    <row r="115" spans="3:52" ht="15.75" x14ac:dyDescent="0.25">
      <c r="C115" s="120" t="s">
        <v>817</v>
      </c>
      <c r="D115" s="519">
        <v>25</v>
      </c>
      <c r="Z115" s="120"/>
      <c r="AA115" s="120"/>
      <c r="AB115" s="120"/>
      <c r="AC115" s="120"/>
      <c r="AD115" s="120"/>
      <c r="AE115" s="120"/>
      <c r="AF115" s="120"/>
      <c r="AG115" s="120"/>
      <c r="AH115" s="120"/>
      <c r="AI115" s="120"/>
      <c r="AJ115" s="120"/>
      <c r="AK115" s="120"/>
      <c r="AL115" s="120"/>
      <c r="AM115" s="120"/>
      <c r="AN115" s="120"/>
      <c r="AO115" s="120"/>
      <c r="AP115" s="120"/>
      <c r="AQ115" s="120"/>
      <c r="AR115" s="120"/>
      <c r="AS115" s="120"/>
      <c r="AT115" s="120"/>
      <c r="AU115" s="120"/>
      <c r="AV115" s="120"/>
      <c r="AW115" s="120"/>
      <c r="AX115" s="120"/>
      <c r="AY115" s="120"/>
      <c r="AZ115" s="519"/>
    </row>
    <row r="116" spans="3:52" ht="15.75" x14ac:dyDescent="0.25">
      <c r="C116" s="120" t="s">
        <v>818</v>
      </c>
      <c r="D116" s="519">
        <v>25</v>
      </c>
      <c r="Z116" s="120"/>
      <c r="AA116" s="120"/>
      <c r="AB116" s="120"/>
      <c r="AC116" s="120"/>
      <c r="AD116" s="120"/>
      <c r="AE116" s="120"/>
      <c r="AF116" s="120"/>
      <c r="AG116" s="120"/>
      <c r="AH116" s="120"/>
      <c r="AI116" s="120"/>
      <c r="AJ116" s="120"/>
      <c r="AK116" s="120"/>
      <c r="AL116" s="120"/>
      <c r="AM116" s="120"/>
      <c r="AN116" s="120"/>
      <c r="AO116" s="120"/>
      <c r="AP116" s="120"/>
      <c r="AQ116" s="120"/>
      <c r="AR116" s="120"/>
      <c r="AS116" s="120"/>
      <c r="AT116" s="120"/>
      <c r="AU116" s="120"/>
      <c r="AV116" s="120"/>
      <c r="AW116" s="120"/>
      <c r="AX116" s="120"/>
      <c r="AY116" s="120"/>
      <c r="AZ116" s="519"/>
    </row>
    <row r="117" spans="3:52" ht="15.75" x14ac:dyDescent="0.25">
      <c r="C117" s="120" t="s">
        <v>826</v>
      </c>
      <c r="D117" s="519">
        <v>10</v>
      </c>
      <c r="Z117" s="120"/>
      <c r="AA117" s="120"/>
      <c r="AB117" s="120"/>
      <c r="AC117" s="120"/>
      <c r="AD117" s="120"/>
      <c r="AE117" s="120"/>
      <c r="AF117" s="120"/>
      <c r="AG117" s="120"/>
      <c r="AH117" s="120"/>
      <c r="AI117" s="120"/>
      <c r="AJ117" s="120"/>
      <c r="AK117" s="120"/>
      <c r="AL117" s="120"/>
      <c r="AM117" s="120"/>
      <c r="AN117" s="120"/>
      <c r="AO117" s="120"/>
      <c r="AP117" s="120"/>
      <c r="AQ117" s="120"/>
      <c r="AR117" s="120"/>
      <c r="AS117" s="120"/>
      <c r="AT117" s="120"/>
      <c r="AU117" s="120"/>
      <c r="AV117" s="120"/>
      <c r="AW117" s="120"/>
      <c r="AX117" s="120"/>
      <c r="AY117" s="120"/>
      <c r="AZ117" s="519"/>
    </row>
    <row r="118" spans="3:52" ht="15.75" x14ac:dyDescent="0.25">
      <c r="C118" s="120" t="s">
        <v>181</v>
      </c>
      <c r="D118" s="519">
        <v>10</v>
      </c>
      <c r="Z118" s="120"/>
      <c r="AA118" s="120"/>
      <c r="AB118" s="120"/>
      <c r="AC118" s="120"/>
      <c r="AD118" s="120"/>
      <c r="AE118" s="120"/>
      <c r="AF118" s="120"/>
      <c r="AG118" s="120"/>
      <c r="AH118" s="120"/>
      <c r="AI118" s="120"/>
      <c r="AJ118" s="120"/>
      <c r="AK118" s="120"/>
      <c r="AL118" s="120"/>
      <c r="AM118" s="120"/>
      <c r="AN118" s="120"/>
      <c r="AO118" s="120"/>
      <c r="AP118" s="120"/>
      <c r="AQ118" s="120"/>
      <c r="AR118" s="120"/>
      <c r="AS118" s="120"/>
      <c r="AT118" s="120"/>
      <c r="AU118" s="120"/>
      <c r="AV118" s="120"/>
      <c r="AW118" s="120"/>
      <c r="AX118" s="120"/>
      <c r="AY118" s="120"/>
      <c r="AZ118" s="519"/>
    </row>
    <row r="119" spans="3:52" ht="15.75" x14ac:dyDescent="0.25">
      <c r="C119" s="120" t="s">
        <v>188</v>
      </c>
      <c r="D119" s="519">
        <v>5</v>
      </c>
      <c r="Z119" s="120"/>
      <c r="AA119" s="120"/>
      <c r="AB119" s="120"/>
      <c r="AC119" s="120"/>
      <c r="AD119" s="120"/>
      <c r="AE119" s="120"/>
      <c r="AF119" s="120"/>
      <c r="AG119" s="120"/>
      <c r="AH119" s="120"/>
      <c r="AI119" s="120"/>
      <c r="AJ119" s="120"/>
      <c r="AK119" s="120"/>
      <c r="AL119" s="120"/>
      <c r="AM119" s="120"/>
      <c r="AN119" s="120"/>
      <c r="AO119" s="120"/>
      <c r="AP119" s="120"/>
      <c r="AQ119" s="120"/>
      <c r="AR119" s="120"/>
      <c r="AS119" s="120"/>
      <c r="AT119" s="120"/>
      <c r="AU119" s="120"/>
      <c r="AV119" s="120"/>
      <c r="AW119" s="120"/>
      <c r="AX119" s="120"/>
      <c r="AY119" s="120"/>
      <c r="AZ119" s="519"/>
    </row>
    <row r="120" spans="3:52" ht="15.75" x14ac:dyDescent="0.25">
      <c r="C120" s="120" t="s">
        <v>182</v>
      </c>
      <c r="D120" s="519">
        <v>3</v>
      </c>
      <c r="Z120" s="120"/>
      <c r="AA120" s="120"/>
      <c r="AB120" s="120"/>
      <c r="AC120" s="120"/>
      <c r="AD120" s="120"/>
      <c r="AE120" s="120"/>
      <c r="AF120" s="120"/>
      <c r="AG120" s="120"/>
      <c r="AH120" s="120"/>
      <c r="AI120" s="120"/>
      <c r="AJ120" s="120"/>
      <c r="AK120" s="120"/>
      <c r="AL120" s="120"/>
      <c r="AM120" s="120"/>
      <c r="AN120" s="120"/>
      <c r="AO120" s="120"/>
      <c r="AP120" s="120"/>
      <c r="AQ120" s="120"/>
      <c r="AR120" s="120"/>
      <c r="AS120" s="120"/>
      <c r="AT120" s="120"/>
      <c r="AU120" s="120"/>
      <c r="AV120" s="120"/>
      <c r="AW120" s="120"/>
      <c r="AX120" s="120"/>
      <c r="AY120" s="120"/>
      <c r="AZ120" s="519"/>
    </row>
    <row r="121" spans="3:52" ht="15.75" x14ac:dyDescent="0.25">
      <c r="Z121" s="120"/>
      <c r="AA121" s="120"/>
      <c r="AB121" s="120"/>
      <c r="AC121" s="120"/>
      <c r="AD121" s="120"/>
      <c r="AE121" s="120"/>
      <c r="AF121" s="120"/>
      <c r="AG121" s="120"/>
      <c r="AH121" s="120"/>
      <c r="AI121" s="120"/>
      <c r="AJ121" s="120"/>
      <c r="AK121" s="120"/>
      <c r="AL121" s="120"/>
      <c r="AM121" s="120"/>
      <c r="AN121" s="120"/>
      <c r="AO121" s="120"/>
      <c r="AP121" s="120"/>
      <c r="AQ121" s="120"/>
      <c r="AR121" s="120"/>
      <c r="AS121" s="120"/>
      <c r="AT121" s="120"/>
      <c r="AU121" s="120"/>
      <c r="AV121" s="120"/>
      <c r="AW121" s="120"/>
      <c r="AX121" s="120"/>
      <c r="AY121" s="120"/>
      <c r="AZ121" s="519"/>
    </row>
    <row r="122" spans="3:52" ht="15.75" x14ac:dyDescent="0.25">
      <c r="Z122" s="120"/>
      <c r="AA122" s="120"/>
      <c r="AB122" s="120"/>
      <c r="AC122" s="120"/>
      <c r="AD122" s="120"/>
      <c r="AE122" s="120"/>
      <c r="AF122" s="120"/>
      <c r="AG122" s="120"/>
      <c r="AH122" s="120"/>
      <c r="AI122" s="120"/>
      <c r="AJ122" s="120"/>
      <c r="AK122" s="120"/>
      <c r="AL122" s="120"/>
      <c r="AM122" s="120"/>
      <c r="AN122" s="120"/>
      <c r="AO122" s="120"/>
      <c r="AP122" s="120"/>
      <c r="AQ122" s="120"/>
      <c r="AR122" s="120"/>
      <c r="AS122" s="120"/>
      <c r="AT122" s="120"/>
      <c r="AU122" s="120"/>
      <c r="AV122" s="120"/>
      <c r="AW122" s="120"/>
      <c r="AX122" s="120"/>
      <c r="AY122" s="120"/>
      <c r="AZ122" s="519"/>
    </row>
    <row r="123" spans="3:52" ht="15.75" x14ac:dyDescent="0.25">
      <c r="Z123" s="120"/>
      <c r="AA123" s="120"/>
      <c r="AB123" s="120"/>
      <c r="AC123" s="120"/>
      <c r="AD123" s="120"/>
      <c r="AE123" s="120"/>
      <c r="AF123" s="120"/>
      <c r="AG123" s="120"/>
      <c r="AH123" s="120"/>
      <c r="AI123" s="120"/>
      <c r="AJ123" s="120"/>
      <c r="AK123" s="120"/>
      <c r="AL123" s="120"/>
      <c r="AM123" s="120"/>
      <c r="AN123" s="120"/>
      <c r="AO123" s="120"/>
      <c r="AP123" s="120"/>
      <c r="AQ123" s="120"/>
      <c r="AR123" s="120"/>
      <c r="AS123" s="120"/>
      <c r="AT123" s="120"/>
      <c r="AU123" s="120"/>
      <c r="AV123" s="120"/>
      <c r="AW123" s="120"/>
      <c r="AX123" s="120"/>
      <c r="AY123" s="120"/>
      <c r="AZ123" s="519"/>
    </row>
    <row r="124" spans="3:52" ht="15.75" x14ac:dyDescent="0.25">
      <c r="Z124" s="120"/>
      <c r="AA124" s="120"/>
      <c r="AB124" s="120"/>
      <c r="AC124" s="120"/>
      <c r="AD124" s="120"/>
      <c r="AE124" s="120"/>
      <c r="AF124" s="120"/>
      <c r="AG124" s="120"/>
      <c r="AH124" s="120"/>
      <c r="AI124" s="120"/>
      <c r="AJ124" s="120"/>
      <c r="AK124" s="120"/>
      <c r="AL124" s="120"/>
      <c r="AM124" s="120"/>
      <c r="AN124" s="120"/>
      <c r="AO124" s="120"/>
      <c r="AP124" s="120"/>
      <c r="AQ124" s="120"/>
      <c r="AR124" s="120"/>
      <c r="AS124" s="120"/>
      <c r="AT124" s="120"/>
      <c r="AU124" s="120"/>
      <c r="AV124" s="120"/>
      <c r="AW124" s="120"/>
      <c r="AX124" s="120"/>
      <c r="AY124" s="120"/>
      <c r="AZ124" s="519"/>
    </row>
    <row r="125" spans="3:52" ht="15.75" x14ac:dyDescent="0.25">
      <c r="Z125" s="120"/>
      <c r="AA125" s="120"/>
      <c r="AB125" s="120"/>
      <c r="AC125" s="120"/>
      <c r="AD125" s="120"/>
      <c r="AE125" s="120"/>
      <c r="AF125" s="120"/>
      <c r="AG125" s="120"/>
      <c r="AH125" s="120"/>
      <c r="AI125" s="120"/>
      <c r="AJ125" s="120"/>
      <c r="AK125" s="120"/>
      <c r="AL125" s="120"/>
      <c r="AM125" s="120"/>
      <c r="AN125" s="120"/>
      <c r="AO125" s="120"/>
      <c r="AP125" s="120"/>
      <c r="AQ125" s="120"/>
      <c r="AR125" s="120"/>
      <c r="AS125" s="120"/>
      <c r="AT125" s="120"/>
      <c r="AU125" s="120"/>
      <c r="AV125" s="120"/>
      <c r="AW125" s="120"/>
      <c r="AX125" s="120"/>
      <c r="AY125" s="120"/>
      <c r="AZ125" s="519"/>
    </row>
  </sheetData>
  <sheetProtection sheet="1" formatCells="0" formatColumns="0" formatRows="0" selectLockedCells="1"/>
  <mergeCells count="43">
    <mergeCell ref="A46:B46"/>
    <mergeCell ref="C46:J46"/>
    <mergeCell ref="A48:B48"/>
    <mergeCell ref="C48:J48"/>
    <mergeCell ref="S8:S9"/>
    <mergeCell ref="C10:C31"/>
    <mergeCell ref="O33:O34"/>
    <mergeCell ref="Q33:Q34"/>
    <mergeCell ref="J8:J9"/>
    <mergeCell ref="K8:K9"/>
    <mergeCell ref="L8:L9"/>
    <mergeCell ref="M8:M9"/>
    <mergeCell ref="N8:O8"/>
    <mergeCell ref="P8:Q8"/>
    <mergeCell ref="D8:D9"/>
    <mergeCell ref="E8:E9"/>
    <mergeCell ref="A1:B3"/>
    <mergeCell ref="S1:T3"/>
    <mergeCell ref="N1:O3"/>
    <mergeCell ref="A35:D35"/>
    <mergeCell ref="A36:D36"/>
    <mergeCell ref="F8:F9"/>
    <mergeCell ref="G8:G9"/>
    <mergeCell ref="H8:H9"/>
    <mergeCell ref="A4:Q4"/>
    <mergeCell ref="A5:Q5"/>
    <mergeCell ref="A6:Q6"/>
    <mergeCell ref="A7:Q7"/>
    <mergeCell ref="S5:AN6"/>
    <mergeCell ref="A8:A9"/>
    <mergeCell ref="B8:B9"/>
    <mergeCell ref="C8:C9"/>
    <mergeCell ref="U1:AN3"/>
    <mergeCell ref="AP3:AZ6"/>
    <mergeCell ref="C49:J49"/>
    <mergeCell ref="D59:E59"/>
    <mergeCell ref="E60:F60"/>
    <mergeCell ref="U8:Z8"/>
    <mergeCell ref="AB8:AG8"/>
    <mergeCell ref="AP7:AT8"/>
    <mergeCell ref="AV7:AZ8"/>
    <mergeCell ref="I8:I9"/>
    <mergeCell ref="AI8:AN8"/>
  </mergeCells>
  <dataValidations count="5">
    <dataValidation type="list" allowBlank="1" sqref="F10:F31" xr:uid="{00000000-0002-0000-0A00-000000000000}">
      <formula1>(BD$11:BD$20)</formula1>
    </dataValidation>
    <dataValidation type="list" allowBlank="1" sqref="J10:J31" xr:uid="{00000000-0002-0000-0A00-000001000000}">
      <formula1>BJ$11:BJ$22</formula1>
    </dataValidation>
    <dataValidation type="list" allowBlank="1" sqref="D10:D31" xr:uid="{00000000-0002-0000-0A00-000002000000}">
      <formula1>"bis 14 t/ha,über 14 t/ha"</formula1>
    </dataValidation>
    <dataValidation type="list" allowBlank="1" sqref="K10:K31" xr:uid="{00000000-0002-0000-0A00-000003000000}">
      <formula1>"jede,jede zweite"</formula1>
    </dataValidation>
    <dataValidation type="list" allowBlank="1" showInputMessage="1" showErrorMessage="1" sqref="H10:H31" xr:uid="{00000000-0002-0000-0A00-000004000000}">
      <formula1>BG$11:BG$13</formula1>
    </dataValidation>
  </dataValidations>
  <pageMargins left="0.78740157480314965" right="0.23622047244094491" top="0.74803149606299213" bottom="0.74803149606299213" header="0.31496062992125984" footer="0.31496062992125984"/>
  <pageSetup paperSize="9" scale="49" fitToHeight="0" orientation="landscape" horizontalDpi="4294967293" verticalDpi="4294967293"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5000000}">
          <x14:formula1>
            <xm:f>Düngemittel!$B$6:$B$64</xm:f>
          </x14:formula1>
          <xm:sqref>AJ10:AJ31 AC10:AC31 V10:V31</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A1:T58"/>
  <sheetViews>
    <sheetView topLeftCell="A7" zoomScale="90" zoomScaleNormal="90" zoomScaleSheetLayoutView="100" workbookViewId="0">
      <selection activeCell="M12" sqref="M12"/>
    </sheetView>
  </sheetViews>
  <sheetFormatPr baseColWidth="10" defaultRowHeight="15.75" x14ac:dyDescent="0.25"/>
  <cols>
    <col min="1" max="1" width="17.7109375" style="820" customWidth="1"/>
    <col min="2" max="2" width="39.85546875" style="820" customWidth="1"/>
    <col min="3" max="3" width="15.85546875" style="820" customWidth="1"/>
    <col min="4" max="4" width="14.5703125" style="820" customWidth="1"/>
    <col min="5" max="5" width="12.5703125" style="820" customWidth="1"/>
    <col min="6" max="6" width="11.28515625" style="820" customWidth="1"/>
    <col min="7" max="7" width="10.85546875" style="820" customWidth="1"/>
    <col min="8" max="8" width="3.85546875" style="820" customWidth="1"/>
    <col min="9" max="9" width="10.28515625" style="820" customWidth="1"/>
    <col min="10" max="10" width="9.85546875" style="820" customWidth="1"/>
    <col min="11" max="11" width="11.42578125" style="820" customWidth="1"/>
    <col min="12" max="12" width="9.7109375" style="820" customWidth="1"/>
    <col min="13" max="13" width="9.5703125" style="820" customWidth="1"/>
    <col min="14" max="14" width="10.42578125" style="820" customWidth="1"/>
    <col min="15" max="16" width="10.85546875" style="820" customWidth="1"/>
    <col min="17" max="17" width="12.28515625" style="820" customWidth="1"/>
    <col min="18" max="18" width="11.7109375" style="820" customWidth="1"/>
    <col min="19" max="19" width="43.5703125" style="820" customWidth="1"/>
    <col min="20" max="16384" width="11.42578125" style="820"/>
  </cols>
  <sheetData>
    <row r="1" spans="1:20" s="124" customFormat="1" ht="63.75" customHeight="1" x14ac:dyDescent="0.25">
      <c r="A1" s="1506" t="s">
        <v>1291</v>
      </c>
      <c r="B1" s="1293"/>
      <c r="C1" s="1293"/>
      <c r="D1" s="1293"/>
      <c r="E1" s="1293"/>
      <c r="F1" s="1293"/>
      <c r="G1" s="1293"/>
      <c r="H1" s="1293"/>
      <c r="I1" s="1293"/>
      <c r="J1" s="1293"/>
      <c r="K1" s="1293"/>
      <c r="L1" s="1293"/>
      <c r="M1" s="1293"/>
      <c r="N1" s="1293"/>
      <c r="O1" s="1293"/>
      <c r="P1" s="1293"/>
      <c r="Q1" s="1293"/>
      <c r="R1" s="1293"/>
    </row>
    <row r="2" spans="1:20" s="999" customFormat="1" ht="27.75" customHeight="1" x14ac:dyDescent="0.3">
      <c r="A2" s="1504" t="s">
        <v>1239</v>
      </c>
      <c r="B2" s="1507"/>
      <c r="C2" s="1507"/>
      <c r="D2" s="1507"/>
      <c r="E2" s="1507"/>
      <c r="F2" s="1507"/>
      <c r="G2" s="1507"/>
      <c r="H2" s="1507"/>
      <c r="I2" s="1507"/>
      <c r="J2" s="1507"/>
      <c r="K2" s="1507"/>
      <c r="L2" s="1507"/>
      <c r="M2" s="1507"/>
      <c r="N2" s="1507"/>
      <c r="O2" s="1507"/>
      <c r="P2" s="1507"/>
      <c r="Q2" s="1507"/>
      <c r="R2" s="1507"/>
    </row>
    <row r="3" spans="1:20" s="676" customFormat="1" ht="49.5" customHeight="1" x14ac:dyDescent="0.3">
      <c r="A3" s="1504" t="s">
        <v>1290</v>
      </c>
      <c r="B3" s="1505"/>
      <c r="C3" s="1505"/>
      <c r="D3" s="1505"/>
      <c r="E3" s="1505"/>
      <c r="F3" s="1505"/>
      <c r="G3" s="1505"/>
      <c r="H3" s="1505"/>
      <c r="I3" s="1505"/>
      <c r="J3" s="1505"/>
      <c r="K3" s="1505"/>
      <c r="L3" s="1505"/>
      <c r="M3" s="1505"/>
      <c r="N3" s="1505"/>
      <c r="O3" s="1505"/>
      <c r="P3" s="1505"/>
      <c r="Q3" s="1505"/>
      <c r="R3" s="1505"/>
    </row>
    <row r="4" spans="1:20" ht="66" customHeight="1" x14ac:dyDescent="0.25">
      <c r="A4" s="1506" t="s">
        <v>1240</v>
      </c>
      <c r="B4" s="1293"/>
      <c r="C4" s="1293"/>
      <c r="D4" s="1293"/>
      <c r="E4" s="1293"/>
      <c r="F4" s="1293"/>
      <c r="G4" s="1293"/>
      <c r="H4" s="1293"/>
      <c r="I4" s="1293"/>
      <c r="J4" s="1293"/>
      <c r="K4" s="1293"/>
      <c r="L4" s="1293"/>
      <c r="M4" s="1293"/>
      <c r="N4" s="1293"/>
      <c r="O4" s="1293"/>
      <c r="P4" s="1293"/>
      <c r="Q4" s="1293"/>
      <c r="R4" s="1293"/>
      <c r="S4" s="764"/>
    </row>
    <row r="5" spans="1:20" ht="15.75" customHeight="1" x14ac:dyDescent="0.25">
      <c r="A5" s="181"/>
      <c r="B5" s="400"/>
      <c r="C5" s="400"/>
      <c r="D5" s="400"/>
      <c r="E5" s="400"/>
      <c r="F5" s="400"/>
      <c r="G5" s="400"/>
      <c r="H5" s="400"/>
      <c r="I5" s="400"/>
      <c r="J5" s="400"/>
      <c r="K5" s="400"/>
      <c r="L5" s="400"/>
      <c r="M5" s="400"/>
      <c r="N5" s="400"/>
      <c r="O5" s="400"/>
      <c r="P5" s="400"/>
      <c r="Q5" s="400"/>
      <c r="R5" s="400"/>
      <c r="S5" s="764"/>
    </row>
    <row r="6" spans="1:20" s="149" customFormat="1" ht="21" customHeight="1" x14ac:dyDescent="0.25">
      <c r="B6" s="1000" t="str">
        <f>'DüV-N-Feldfutter'!C1</f>
        <v>Testbetrieb</v>
      </c>
      <c r="C6" s="1000">
        <f>'DüV-N-Feldfutter'!C2</f>
        <v>1</v>
      </c>
      <c r="E6" s="1000">
        <f>'DüV-N-Feldfutter'!C3</f>
        <v>123456</v>
      </c>
      <c r="G6" s="1001"/>
      <c r="H6" s="1001"/>
      <c r="I6" s="1000" t="str">
        <f>'DüV-N-Feldfutter'!E1</f>
        <v>Erntejahr</v>
      </c>
      <c r="J6" s="1000">
        <f>'DüV-N-Feldfutter'!E2</f>
        <v>2022</v>
      </c>
      <c r="M6" s="1001"/>
      <c r="N6" s="1001"/>
      <c r="O6" s="1001"/>
      <c r="P6" s="1001"/>
      <c r="Q6" s="1001"/>
      <c r="R6" s="1001"/>
    </row>
    <row r="7" spans="1:20" ht="15" customHeight="1" thickBot="1" x14ac:dyDescent="0.3">
      <c r="B7" s="836"/>
      <c r="C7" s="837"/>
    </row>
    <row r="8" spans="1:20" ht="30" customHeight="1" thickBot="1" x14ac:dyDescent="0.35">
      <c r="A8" s="1511" t="s">
        <v>1158</v>
      </c>
      <c r="B8" s="1125"/>
      <c r="C8" s="1508" t="s">
        <v>1144</v>
      </c>
      <c r="D8" s="1509"/>
      <c r="E8" s="1509"/>
      <c r="F8" s="1509"/>
      <c r="G8" s="1510"/>
      <c r="H8" s="864"/>
      <c r="I8" s="1519" t="s">
        <v>1145</v>
      </c>
      <c r="J8" s="1520"/>
      <c r="K8" s="1520"/>
      <c r="L8" s="1520"/>
      <c r="M8" s="1520"/>
      <c r="N8" s="1520"/>
      <c r="O8" s="1520"/>
      <c r="P8" s="1520"/>
      <c r="Q8" s="1520"/>
      <c r="R8" s="1521"/>
    </row>
    <row r="9" spans="1:20" ht="20.25" customHeight="1" x14ac:dyDescent="0.25">
      <c r="A9" s="1512"/>
      <c r="B9" s="1126"/>
      <c r="C9" s="1119" t="s">
        <v>1147</v>
      </c>
      <c r="D9" s="1363" t="s">
        <v>1146</v>
      </c>
      <c r="E9" s="1522"/>
      <c r="F9" s="1363" t="s">
        <v>328</v>
      </c>
      <c r="G9" s="1301"/>
      <c r="I9" s="1513" t="s">
        <v>1146</v>
      </c>
      <c r="J9" s="1514"/>
      <c r="K9" s="1514"/>
      <c r="L9" s="1514"/>
      <c r="M9" s="1515"/>
      <c r="N9" s="1516" t="s">
        <v>328</v>
      </c>
      <c r="O9" s="1517"/>
      <c r="P9" s="1517"/>
      <c r="Q9" s="1517"/>
      <c r="R9" s="1518"/>
    </row>
    <row r="10" spans="1:20" ht="48" thickBot="1" x14ac:dyDescent="0.3">
      <c r="A10" s="1512"/>
      <c r="B10" s="1127"/>
      <c r="C10" s="1120" t="s">
        <v>1148</v>
      </c>
      <c r="D10" s="843" t="s">
        <v>177</v>
      </c>
      <c r="E10" s="1177" t="s">
        <v>1284</v>
      </c>
      <c r="F10" s="927" t="s">
        <v>177</v>
      </c>
      <c r="G10" s="1170" t="s">
        <v>1283</v>
      </c>
      <c r="H10" s="476"/>
      <c r="I10" s="854" t="s">
        <v>1142</v>
      </c>
      <c r="J10" s="855" t="s">
        <v>1096</v>
      </c>
      <c r="K10" s="855" t="s">
        <v>1269</v>
      </c>
      <c r="L10" s="855" t="s">
        <v>1265</v>
      </c>
      <c r="M10" s="856" t="s">
        <v>1155</v>
      </c>
      <c r="N10" s="923" t="s">
        <v>1142</v>
      </c>
      <c r="O10" s="924" t="s">
        <v>1096</v>
      </c>
      <c r="P10" s="925" t="s">
        <v>1269</v>
      </c>
      <c r="Q10" s="924" t="s">
        <v>1265</v>
      </c>
      <c r="R10" s="1107" t="s">
        <v>1149</v>
      </c>
    </row>
    <row r="11" spans="1:20" ht="21" customHeight="1" x14ac:dyDescent="0.25">
      <c r="A11" s="1512"/>
      <c r="B11" s="1128" t="s">
        <v>1130</v>
      </c>
      <c r="C11" s="1121">
        <f>'DüV-N-Ackerbau (1)'!B32+'DüV-N-Ackerbau (2)'!B32+'DüV-N-Ackerbau (3)'!B32+'DüV-N-Ackerbau (4)'!B32</f>
        <v>60</v>
      </c>
      <c r="D11" s="876">
        <f>'DüV-N-Ackerbau (1)'!R32+'DüV-N-Ackerbau (2)'!R32+'DüV-N-Ackerbau (3)'!R32+'DüV-N-Ackerbau (4)'!R32</f>
        <v>9040</v>
      </c>
      <c r="E11" s="1178">
        <f>'DüV-N-Ackerbau (1)'!T32+'DüV-N-Ackerbau (2)'!T32+'DüV-N-Ackerbau (4)'!T32+'DüV-N-Ackerbau (4)'!T32</f>
        <v>3680</v>
      </c>
      <c r="F11" s="1043">
        <f>IF(D11=0,"0",D11/$C11)</f>
        <v>150.66666666666666</v>
      </c>
      <c r="G11" s="1171">
        <f>IF(E11=0,"0",E11/$C11)</f>
        <v>61.333333333333336</v>
      </c>
      <c r="H11" s="476"/>
      <c r="I11" s="857">
        <f>'DüV-N-Ackerbau (1)'!BN32+'DüV-N-Ackerbau (2)'!BN32+'DüV-N-Ackerbau (3)'!BN32+'DüV-N-Ackerbau (4)'!BN32</f>
        <v>8825</v>
      </c>
      <c r="J11" s="858">
        <f>'DüV-N-Ackerbau (1)'!BM32+'DüV-N-Ackerbau (2)'!BM32+'DüV-N-Ackerbau (3)'!BM32+'DüV-N-Ackerbau (4)'!BM32</f>
        <v>6665</v>
      </c>
      <c r="K11" s="858">
        <f>'DüV-N-Ackerbau (1)'!BP32+'DüV-N-Ackerbau (2)'!BP32+'DüV-N-Ackerbau (3)'!BP32+'DüV-N-Ackerbau (4)'!BP32</f>
        <v>3600</v>
      </c>
      <c r="L11" s="858">
        <f>'DüV-N-Ackerbau (1)'!BO32+'DüV-N-Ackerbau (2)'!BO32+'DüV-N-Ackerbau (3)'!BO32+'DüV-N-Ackerbau (4)'!BO32</f>
        <v>10265</v>
      </c>
      <c r="M11" s="859">
        <f>'DüV-N-Ackerbau (1)'!BQ32+'DüV-N-Ackerbau (2)'!BQ32+'DüV-N-Ackerbau (3)'!BQ32+'DüV-N-Ackerbau (4)'!BQ32</f>
        <v>2420</v>
      </c>
      <c r="N11" s="1043">
        <f>IF(I11=0,"0",I11/$C11)</f>
        <v>147.08333333333334</v>
      </c>
      <c r="O11" s="1109">
        <f>IF(J11=0,"0",J11/$C11)</f>
        <v>111.08333333333333</v>
      </c>
      <c r="P11" s="1109">
        <f>IF(K11=0,"0",K11/$C11)</f>
        <v>60</v>
      </c>
      <c r="Q11" s="1109">
        <f>IF(L11=0,"0",L11/$C11)</f>
        <v>171.08333333333334</v>
      </c>
      <c r="R11" s="1044">
        <f>IF(M11=0,"0",M11/$C11)</f>
        <v>40.333333333333336</v>
      </c>
      <c r="S11" s="845" t="s">
        <v>1130</v>
      </c>
      <c r="T11" s="723"/>
    </row>
    <row r="12" spans="1:20" ht="21" customHeight="1" x14ac:dyDescent="0.25">
      <c r="A12" s="1512"/>
      <c r="B12" s="1129" t="s">
        <v>1188</v>
      </c>
      <c r="C12" s="1122">
        <f>'DüV-N-Zweit-Zwischenfrucht'!B32</f>
        <v>1</v>
      </c>
      <c r="D12" s="882">
        <f>'DüV-N-Zweit-Zwischenfrucht'!N32</f>
        <v>0</v>
      </c>
      <c r="E12" s="1179">
        <f>'DüV-N-Zweit-Zwischenfrucht'!P32</f>
        <v>0</v>
      </c>
      <c r="F12" s="1045" t="str">
        <f t="shared" ref="F12:G16" si="0">IF(D12=0,"0",D12/$C12)</f>
        <v>0</v>
      </c>
      <c r="G12" s="1172" t="str">
        <f t="shared" si="0"/>
        <v>0</v>
      </c>
      <c r="H12" s="1054"/>
      <c r="I12" s="883">
        <f>'DüV-N-Zweit-Zwischenfrucht'!AW32</f>
        <v>67.5</v>
      </c>
      <c r="J12" s="885">
        <f>'DüV-N-Zweit-Zwischenfrucht'!AV32</f>
        <v>67.5</v>
      </c>
      <c r="K12" s="885">
        <f>'DüV-N-Zweit-Zwischenfrucht'!AY32</f>
        <v>0</v>
      </c>
      <c r="L12" s="885">
        <f>'DüV-N-Zweit-Zwischenfrucht'!AX32</f>
        <v>67.5</v>
      </c>
      <c r="M12" s="884">
        <f>'DüV-N-Zweit-Zwischenfrucht'!AZ32</f>
        <v>0</v>
      </c>
      <c r="N12" s="1045">
        <f t="shared" ref="N12:N16" si="1">IF(I12=0,"0",I12/$C12)</f>
        <v>67.5</v>
      </c>
      <c r="O12" s="1110">
        <f t="shared" ref="O12:R16" si="2">IF(J12=0,"0",J12/$C12)</f>
        <v>67.5</v>
      </c>
      <c r="P12" s="1110" t="str">
        <f t="shared" si="2"/>
        <v>0</v>
      </c>
      <c r="Q12" s="1110">
        <f t="shared" si="2"/>
        <v>67.5</v>
      </c>
      <c r="R12" s="1046" t="str">
        <f t="shared" si="2"/>
        <v>0</v>
      </c>
      <c r="S12" s="875" t="s">
        <v>1188</v>
      </c>
      <c r="T12" s="723"/>
    </row>
    <row r="13" spans="1:20" ht="21" customHeight="1" x14ac:dyDescent="0.25">
      <c r="A13" s="1512"/>
      <c r="B13" s="1130" t="s">
        <v>1135</v>
      </c>
      <c r="C13" s="1123">
        <f>'DüV-N-Feldfutter'!B32</f>
        <v>5</v>
      </c>
      <c r="D13" s="878">
        <f>'DüV-N-Feldfutter'!N32</f>
        <v>706</v>
      </c>
      <c r="E13" s="1180">
        <f>'DüV-N-Feldfutter'!P32</f>
        <v>375</v>
      </c>
      <c r="F13" s="1047">
        <f t="shared" si="0"/>
        <v>141.19999999999999</v>
      </c>
      <c r="G13" s="1173">
        <f t="shared" si="0"/>
        <v>75</v>
      </c>
      <c r="H13" s="476"/>
      <c r="I13" s="879">
        <f>'DüV-N-Feldfutter'!BJ32</f>
        <v>553.5</v>
      </c>
      <c r="J13" s="880">
        <f>'DüV-N-Feldfutter'!BI32</f>
        <v>337.5</v>
      </c>
      <c r="K13" s="880">
        <f>'DüV-N-Feldfutter'!BL32</f>
        <v>360</v>
      </c>
      <c r="L13" s="880">
        <f>'DüV-N-Feldfutter'!BK32</f>
        <v>697.5</v>
      </c>
      <c r="M13" s="881">
        <f>'DüV-N-Feldfutter'!BM32</f>
        <v>150</v>
      </c>
      <c r="N13" s="1047">
        <f t="shared" si="1"/>
        <v>110.7</v>
      </c>
      <c r="O13" s="1111">
        <f t="shared" si="2"/>
        <v>67.5</v>
      </c>
      <c r="P13" s="1111">
        <f t="shared" si="2"/>
        <v>72</v>
      </c>
      <c r="Q13" s="1111">
        <f t="shared" si="2"/>
        <v>139.5</v>
      </c>
      <c r="R13" s="1048">
        <f t="shared" si="2"/>
        <v>30</v>
      </c>
      <c r="S13" s="846" t="s">
        <v>1135</v>
      </c>
    </row>
    <row r="14" spans="1:20" ht="21" customHeight="1" x14ac:dyDescent="0.25">
      <c r="A14" s="1512"/>
      <c r="B14" s="1131" t="s">
        <v>1134</v>
      </c>
      <c r="C14" s="1124">
        <f>'DüV-N-Grünland'!B32</f>
        <v>35</v>
      </c>
      <c r="D14" s="933">
        <f>'DüV-N-Grünland'!P32</f>
        <v>5505.4400000000005</v>
      </c>
      <c r="E14" s="1181">
        <f>'DüV-N-Grünland'!R32</f>
        <v>2533.8671071999997</v>
      </c>
      <c r="F14" s="1049">
        <f t="shared" si="0"/>
        <v>157.29828571428573</v>
      </c>
      <c r="G14" s="1174">
        <f t="shared" si="0"/>
        <v>72.39620306285714</v>
      </c>
      <c r="H14" s="1055"/>
      <c r="I14" s="935">
        <f>'DüV-N-Grünland'!BK32</f>
        <v>5315.9999999999991</v>
      </c>
      <c r="J14" s="936">
        <f>'DüV-N-Grünland'!BJ32</f>
        <v>2184</v>
      </c>
      <c r="K14" s="936">
        <f>'DüV-N-Grünland'!BM32</f>
        <v>5220</v>
      </c>
      <c r="L14" s="936">
        <f>'DüV-N-Grünland'!BL32</f>
        <v>7404</v>
      </c>
      <c r="M14" s="934">
        <f>'DüV-N-Grünland'!BN32</f>
        <v>2175</v>
      </c>
      <c r="N14" s="1049">
        <f t="shared" si="1"/>
        <v>151.88571428571427</v>
      </c>
      <c r="O14" s="1112">
        <f t="shared" si="2"/>
        <v>62.4</v>
      </c>
      <c r="P14" s="1112">
        <f t="shared" si="2"/>
        <v>149.14285714285714</v>
      </c>
      <c r="Q14" s="1112">
        <f t="shared" si="2"/>
        <v>211.54285714285714</v>
      </c>
      <c r="R14" s="1050">
        <f t="shared" si="2"/>
        <v>62.142857142857146</v>
      </c>
      <c r="S14" s="932" t="s">
        <v>1134</v>
      </c>
    </row>
    <row r="15" spans="1:20" ht="21" customHeight="1" thickBot="1" x14ac:dyDescent="0.3">
      <c r="A15" s="1512"/>
      <c r="B15" s="1132" t="s">
        <v>1131</v>
      </c>
      <c r="C15" s="1152">
        <f>'N-Weinbau'!B32</f>
        <v>0</v>
      </c>
      <c r="D15" s="1153">
        <f>'N-Weinbau'!O32</f>
        <v>0</v>
      </c>
      <c r="E15" s="1182">
        <f>'N-Weinbau'!$Q$32</f>
        <v>0</v>
      </c>
      <c r="F15" s="1113" t="str">
        <f t="shared" si="0"/>
        <v>0</v>
      </c>
      <c r="G15" s="1175" t="str">
        <f t="shared" si="0"/>
        <v>0</v>
      </c>
      <c r="H15" s="476"/>
      <c r="I15" s="929">
        <f>'N-Weinbau'!AW32</f>
        <v>0</v>
      </c>
      <c r="J15" s="930">
        <f>'N-Weinbau'!AV32</f>
        <v>0</v>
      </c>
      <c r="K15" s="930">
        <f>'N-Weinbau'!AY32</f>
        <v>0</v>
      </c>
      <c r="L15" s="930">
        <f>'N-Weinbau'!AX32</f>
        <v>0</v>
      </c>
      <c r="M15" s="931">
        <f>'N-Weinbau'!AZ32</f>
        <v>0</v>
      </c>
      <c r="N15" s="1113" t="str">
        <f t="shared" si="1"/>
        <v>0</v>
      </c>
      <c r="O15" s="1114" t="str">
        <f t="shared" si="2"/>
        <v>0</v>
      </c>
      <c r="P15" s="1114" t="str">
        <f t="shared" si="2"/>
        <v>0</v>
      </c>
      <c r="Q15" s="1114" t="str">
        <f t="shared" si="2"/>
        <v>0</v>
      </c>
      <c r="R15" s="1115" t="str">
        <f t="shared" si="2"/>
        <v>0</v>
      </c>
      <c r="S15" s="844" t="s">
        <v>1131</v>
      </c>
    </row>
    <row r="16" spans="1:20" ht="21" customHeight="1" thickBot="1" x14ac:dyDescent="0.3">
      <c r="A16" s="1512"/>
      <c r="B16" s="380" t="s">
        <v>1137</v>
      </c>
      <c r="C16" s="1165">
        <f>C11+SUM(C13:C15)</f>
        <v>100</v>
      </c>
      <c r="D16" s="847">
        <f>SUM(D11:D15)</f>
        <v>15251.44</v>
      </c>
      <c r="E16" s="1183">
        <f>SUM(E11:E15)</f>
        <v>6588.8671071999997</v>
      </c>
      <c r="F16" s="1051">
        <f t="shared" si="0"/>
        <v>152.51439999999999</v>
      </c>
      <c r="G16" s="1176">
        <f t="shared" si="0"/>
        <v>65.888671071999994</v>
      </c>
      <c r="H16" s="1166"/>
      <c r="I16" s="849">
        <f>SUM(I11:I15)</f>
        <v>14762</v>
      </c>
      <c r="J16" s="850">
        <f>SUM(J11:J15)</f>
        <v>9254</v>
      </c>
      <c r="K16" s="848">
        <f>SUM(K11:K15)</f>
        <v>9180</v>
      </c>
      <c r="L16" s="850">
        <f t="shared" ref="L16:M16" si="3">SUM(L11:L15)</f>
        <v>18434</v>
      </c>
      <c r="M16" s="1105">
        <f t="shared" si="3"/>
        <v>4745</v>
      </c>
      <c r="N16" s="1051">
        <f t="shared" si="1"/>
        <v>147.62</v>
      </c>
      <c r="O16" s="1118">
        <f t="shared" si="2"/>
        <v>92.54</v>
      </c>
      <c r="P16" s="1117">
        <f t="shared" si="2"/>
        <v>91.8</v>
      </c>
      <c r="Q16" s="1118">
        <f t="shared" si="2"/>
        <v>184.34</v>
      </c>
      <c r="R16" s="1052">
        <f t="shared" si="2"/>
        <v>47.45</v>
      </c>
      <c r="S16" s="476" t="s">
        <v>1137</v>
      </c>
    </row>
    <row r="17" spans="1:19" ht="31.5" customHeight="1" thickBot="1" x14ac:dyDescent="0.3">
      <c r="A17" s="1311"/>
      <c r="B17" s="1133"/>
      <c r="C17" s="1154"/>
      <c r="D17" s="1155"/>
      <c r="E17" s="1155"/>
      <c r="F17" s="1155"/>
      <c r="G17" s="1156" t="s">
        <v>1163</v>
      </c>
      <c r="H17" s="1057"/>
      <c r="I17" s="1157">
        <f>D16</f>
        <v>15251.44</v>
      </c>
      <c r="J17" s="1158">
        <f>D16</f>
        <v>15251.44</v>
      </c>
      <c r="K17" s="1159">
        <f>170*C16</f>
        <v>17000</v>
      </c>
      <c r="L17" s="1160" t="s">
        <v>1273</v>
      </c>
      <c r="M17" s="1161"/>
      <c r="N17" s="1157">
        <f>IF(D16=0,0,D16/C16)</f>
        <v>152.51439999999999</v>
      </c>
      <c r="O17" s="1157">
        <f>IF(D16=0,0,D16/C16)</f>
        <v>152.51439999999999</v>
      </c>
      <c r="P17" s="1162" t="s">
        <v>1162</v>
      </c>
      <c r="Q17" s="1163"/>
      <c r="R17" s="1164"/>
      <c r="S17" s="1106"/>
    </row>
    <row r="18" spans="1:19" ht="21" customHeight="1" thickBot="1" x14ac:dyDescent="0.3">
      <c r="B18" s="476"/>
      <c r="C18" s="476"/>
      <c r="D18" s="476"/>
      <c r="E18" s="476"/>
      <c r="F18" s="476"/>
      <c r="G18" s="476"/>
      <c r="H18" s="476"/>
      <c r="I18" s="861"/>
      <c r="J18" s="861"/>
      <c r="K18" s="861"/>
      <c r="L18" s="861"/>
      <c r="M18" s="861"/>
      <c r="N18" s="839"/>
      <c r="O18" s="838"/>
      <c r="Q18" s="839"/>
      <c r="R18" s="839"/>
      <c r="S18" s="476"/>
    </row>
    <row r="19" spans="1:19" ht="30" customHeight="1" thickBot="1" x14ac:dyDescent="0.35">
      <c r="A19" s="1502" t="s">
        <v>1159</v>
      </c>
      <c r="B19" s="863"/>
      <c r="C19" s="1519" t="s">
        <v>1144</v>
      </c>
      <c r="D19" s="1509"/>
      <c r="E19" s="1509"/>
      <c r="F19" s="1509"/>
      <c r="G19" s="1510"/>
      <c r="H19" s="864"/>
      <c r="I19" s="1519" t="s">
        <v>1145</v>
      </c>
      <c r="J19" s="1520"/>
      <c r="K19" s="1520"/>
      <c r="L19" s="1520"/>
      <c r="M19" s="1520"/>
      <c r="N19" s="1520"/>
      <c r="O19" s="1520"/>
      <c r="P19" s="1520"/>
      <c r="Q19" s="1520"/>
      <c r="R19" s="1521"/>
    </row>
    <row r="20" spans="1:19" ht="21" customHeight="1" x14ac:dyDescent="0.25">
      <c r="A20" s="1503"/>
      <c r="B20" s="822"/>
      <c r="C20" s="841" t="s">
        <v>1147</v>
      </c>
      <c r="D20" s="1363" t="s">
        <v>1146</v>
      </c>
      <c r="E20" s="1301"/>
      <c r="F20" s="1433" t="s">
        <v>328</v>
      </c>
      <c r="G20" s="1301"/>
      <c r="I20" s="1513" t="s">
        <v>1146</v>
      </c>
      <c r="J20" s="1514"/>
      <c r="K20" s="1514"/>
      <c r="L20" s="1514"/>
      <c r="M20" s="1515"/>
      <c r="N20" s="1516" t="s">
        <v>328</v>
      </c>
      <c r="O20" s="1517"/>
      <c r="P20" s="1517"/>
      <c r="Q20" s="1517"/>
      <c r="R20" s="1518"/>
    </row>
    <row r="21" spans="1:19" ht="65.25" customHeight="1" thickBot="1" x14ac:dyDescent="0.3">
      <c r="A21" s="1503"/>
      <c r="B21" s="83"/>
      <c r="C21" s="842" t="s">
        <v>1148</v>
      </c>
      <c r="D21" s="843" t="s">
        <v>177</v>
      </c>
      <c r="E21" s="1184" t="s">
        <v>1284</v>
      </c>
      <c r="F21" s="928" t="s">
        <v>177</v>
      </c>
      <c r="G21" s="1170" t="s">
        <v>1283</v>
      </c>
      <c r="H21" s="476"/>
      <c r="I21" s="854" t="s">
        <v>1142</v>
      </c>
      <c r="J21" s="855" t="s">
        <v>1096</v>
      </c>
      <c r="K21" s="855" t="s">
        <v>1269</v>
      </c>
      <c r="L21" s="855" t="s">
        <v>1265</v>
      </c>
      <c r="M21" s="856" t="s">
        <v>1155</v>
      </c>
      <c r="N21" s="923" t="s">
        <v>1142</v>
      </c>
      <c r="O21" s="1063" t="s">
        <v>1096</v>
      </c>
      <c r="P21" s="925" t="s">
        <v>1269</v>
      </c>
      <c r="Q21" s="1063" t="s">
        <v>1265</v>
      </c>
      <c r="R21" s="1107" t="s">
        <v>1149</v>
      </c>
    </row>
    <row r="22" spans="1:19" ht="21" customHeight="1" x14ac:dyDescent="0.25">
      <c r="A22" s="1503"/>
      <c r="B22" s="845" t="s">
        <v>1130</v>
      </c>
      <c r="C22" s="1038">
        <f>'DüV-N-Ackerbau NbG'!B32</f>
        <v>60</v>
      </c>
      <c r="D22" s="876">
        <f>'DüV-N-Ackerbau NbG'!R32</f>
        <v>8531</v>
      </c>
      <c r="E22" s="1185">
        <f>'DüV-N-Ackerbau NbG'!T32</f>
        <v>3400</v>
      </c>
      <c r="F22" s="1043">
        <f t="shared" ref="F22" si="4">IF(D22=0,"0",D22/$C22)</f>
        <v>142.18333333333334</v>
      </c>
      <c r="G22" s="1171">
        <f t="shared" ref="G22" si="5">IF(E22=0,"0",E22/$C22)</f>
        <v>56.666666666666664</v>
      </c>
      <c r="H22" s="476"/>
      <c r="I22" s="857">
        <f>'DüV-N-Ackerbau NbG'!BN32</f>
        <v>7382</v>
      </c>
      <c r="J22" s="858">
        <f>'DüV-N-Ackerbau NbG'!BM32</f>
        <v>5438</v>
      </c>
      <c r="K22" s="858">
        <f>'DüV-N-Ackerbau NbG'!BP32</f>
        <v>3240</v>
      </c>
      <c r="L22" s="858">
        <f>'DüV-N-Ackerbau NbG'!BO32</f>
        <v>8678</v>
      </c>
      <c r="M22" s="859">
        <f>'DüV-N-Ackerbau NbG'!BQ32</f>
        <v>1810</v>
      </c>
      <c r="N22" s="1043">
        <f>IF(I22=0,"0",I22/$C22)</f>
        <v>123.03333333333333</v>
      </c>
      <c r="O22" s="1109">
        <f t="shared" ref="O22:R27" si="6">IF(J22=0,"0",J22/$C22)</f>
        <v>90.63333333333334</v>
      </c>
      <c r="P22" s="1109">
        <f t="shared" si="6"/>
        <v>54</v>
      </c>
      <c r="Q22" s="1109">
        <f t="shared" si="6"/>
        <v>144.63333333333333</v>
      </c>
      <c r="R22" s="1044">
        <f t="shared" si="6"/>
        <v>30.166666666666668</v>
      </c>
      <c r="S22" s="845" t="s">
        <v>1130</v>
      </c>
    </row>
    <row r="23" spans="1:19" ht="21" customHeight="1" x14ac:dyDescent="0.25">
      <c r="A23" s="1503"/>
      <c r="B23" s="875" t="s">
        <v>1241</v>
      </c>
      <c r="C23" s="1039">
        <f>'DüV-N-Zweit-Zwischenfrucht NbG'!B32</f>
        <v>0</v>
      </c>
      <c r="D23" s="882">
        <f>'DüV-N-Zweit-Zwischenfrucht NbG'!N32</f>
        <v>0</v>
      </c>
      <c r="E23" s="1179">
        <f>'DüV-N-Zweit-Zwischenfrucht NbG'!P32</f>
        <v>0</v>
      </c>
      <c r="F23" s="1045" t="str">
        <f t="shared" ref="F23:F27" si="7">IF(D23=0,"0",D23/$C23)</f>
        <v>0</v>
      </c>
      <c r="G23" s="1172" t="str">
        <f t="shared" ref="G23:G27" si="8">IF(E23=0,"0",E23/$C23)</f>
        <v>0</v>
      </c>
      <c r="H23" s="1054"/>
      <c r="I23" s="883">
        <f>'DüV-N-Zweit-Zwischenfrucht NbG'!AW32</f>
        <v>0</v>
      </c>
      <c r="J23" s="885">
        <f>'DüV-N-Zweit-Zwischenfrucht NbG'!AV32</f>
        <v>0</v>
      </c>
      <c r="K23" s="885">
        <f>'DüV-N-Zweit-Zwischenfrucht NbG'!AY32</f>
        <v>0</v>
      </c>
      <c r="L23" s="885">
        <f>'DüV-N-Zweit-Zwischenfrucht NbG'!AX32</f>
        <v>0</v>
      </c>
      <c r="M23" s="884">
        <f>'DüV-N-Zweit-Zwischenfrucht NbG'!AZ32</f>
        <v>0</v>
      </c>
      <c r="N23" s="1045" t="str">
        <f t="shared" ref="N23:N27" si="9">IF(I23=0,"0",I23/$C23)</f>
        <v>0</v>
      </c>
      <c r="O23" s="1110" t="str">
        <f t="shared" si="6"/>
        <v>0</v>
      </c>
      <c r="P23" s="1110" t="str">
        <f t="shared" si="6"/>
        <v>0</v>
      </c>
      <c r="Q23" s="1110" t="str">
        <f t="shared" si="6"/>
        <v>0</v>
      </c>
      <c r="R23" s="1046" t="str">
        <f t="shared" si="6"/>
        <v>0</v>
      </c>
      <c r="S23" s="875" t="s">
        <v>1189</v>
      </c>
    </row>
    <row r="24" spans="1:19" ht="21" customHeight="1" x14ac:dyDescent="0.25">
      <c r="A24" s="1503"/>
      <c r="B24" s="846" t="s">
        <v>1135</v>
      </c>
      <c r="C24" s="1040">
        <f>'DüV-N-Feldfutter NbG'!B32</f>
        <v>5</v>
      </c>
      <c r="D24" s="878">
        <f>'DüV-N-Feldfutter NbG'!N32</f>
        <v>706</v>
      </c>
      <c r="E24" s="1180">
        <f>'DüV-N-Feldfutter NbG'!P32</f>
        <v>375</v>
      </c>
      <c r="F24" s="1047">
        <f t="shared" si="7"/>
        <v>141.19999999999999</v>
      </c>
      <c r="G24" s="1173">
        <f t="shared" si="8"/>
        <v>75</v>
      </c>
      <c r="H24" s="476"/>
      <c r="I24" s="879">
        <f>'DüV-N-Feldfutter NbG'!BJ32</f>
        <v>364.5</v>
      </c>
      <c r="J24" s="880">
        <f>'DüV-N-Feldfutter NbG'!BI32</f>
        <v>202.5</v>
      </c>
      <c r="K24" s="880">
        <f>'DüV-N-Feldfutter NbG'!BL32</f>
        <v>270</v>
      </c>
      <c r="L24" s="880">
        <f>'DüV-N-Feldfutter NbG'!BK32</f>
        <v>472.5</v>
      </c>
      <c r="M24" s="881">
        <f>'DüV-N-Feldfutter NbG'!BM32</f>
        <v>112.5</v>
      </c>
      <c r="N24" s="1047">
        <f t="shared" si="9"/>
        <v>72.900000000000006</v>
      </c>
      <c r="O24" s="1111">
        <f t="shared" si="6"/>
        <v>40.5</v>
      </c>
      <c r="P24" s="1111">
        <f t="shared" si="6"/>
        <v>54</v>
      </c>
      <c r="Q24" s="1111">
        <f t="shared" si="6"/>
        <v>94.5</v>
      </c>
      <c r="R24" s="1048">
        <f t="shared" si="6"/>
        <v>22.5</v>
      </c>
      <c r="S24" s="846" t="s">
        <v>1135</v>
      </c>
    </row>
    <row r="25" spans="1:19" ht="21" customHeight="1" x14ac:dyDescent="0.25">
      <c r="A25" s="1503"/>
      <c r="B25" s="937" t="s">
        <v>1134</v>
      </c>
      <c r="C25" s="1042">
        <f>'DüV-N-Grünland NbG'!B32</f>
        <v>35</v>
      </c>
      <c r="D25" s="938">
        <f>'DüV-N-Grünland NbG'!P32</f>
        <v>5200.24</v>
      </c>
      <c r="E25" s="1181">
        <f>'DüV-N-Grünland NbG'!R32</f>
        <v>2487.2320351999997</v>
      </c>
      <c r="F25" s="1049">
        <f t="shared" si="7"/>
        <v>148.5782857142857</v>
      </c>
      <c r="G25" s="1174">
        <f t="shared" si="8"/>
        <v>71.06377243428571</v>
      </c>
      <c r="H25" s="1054"/>
      <c r="I25" s="939">
        <f>'DüV-N-Grünland NbG'!BK32</f>
        <v>4122</v>
      </c>
      <c r="J25" s="940">
        <f>'DüV-N-Grünland NbG'!BJ32</f>
        <v>1638</v>
      </c>
      <c r="K25" s="940">
        <f>'DüV-N-Grünland NbG'!BM32</f>
        <v>4140</v>
      </c>
      <c r="L25" s="940">
        <f>'DüV-N-Grünland NbG'!BL32</f>
        <v>5778</v>
      </c>
      <c r="M25" s="941">
        <f>'DüV-N-Grünland NbG'!BN32</f>
        <v>1725</v>
      </c>
      <c r="N25" s="1049">
        <f t="shared" si="9"/>
        <v>117.77142857142857</v>
      </c>
      <c r="O25" s="1112">
        <f t="shared" si="6"/>
        <v>46.8</v>
      </c>
      <c r="P25" s="1112">
        <f t="shared" si="6"/>
        <v>118.28571428571429</v>
      </c>
      <c r="Q25" s="1112">
        <f t="shared" si="6"/>
        <v>165.08571428571429</v>
      </c>
      <c r="R25" s="1050">
        <f t="shared" si="6"/>
        <v>49.285714285714285</v>
      </c>
      <c r="S25" s="937" t="s">
        <v>1134</v>
      </c>
    </row>
    <row r="26" spans="1:19" ht="21" customHeight="1" thickBot="1" x14ac:dyDescent="0.3">
      <c r="A26" s="1503"/>
      <c r="B26" s="844" t="s">
        <v>1131</v>
      </c>
      <c r="C26" s="1167">
        <f>'N-Weinbau NbG'!B32</f>
        <v>0</v>
      </c>
      <c r="D26" s="1153">
        <f>'N-Weinbau NbG'!O32</f>
        <v>0</v>
      </c>
      <c r="E26" s="1182">
        <f>'N-Weinbau NbG'!Q32</f>
        <v>0</v>
      </c>
      <c r="F26" s="1113" t="str">
        <f t="shared" si="7"/>
        <v>0</v>
      </c>
      <c r="G26" s="1175" t="str">
        <f t="shared" si="8"/>
        <v>0</v>
      </c>
      <c r="H26" s="476"/>
      <c r="I26" s="929">
        <f>'N-Weinbau NbG'!AW32</f>
        <v>0</v>
      </c>
      <c r="J26" s="930">
        <f>'N-Weinbau NbG'!AV32</f>
        <v>0</v>
      </c>
      <c r="K26" s="930">
        <f>'N-Weinbau NbG'!AY32</f>
        <v>0</v>
      </c>
      <c r="L26" s="930">
        <f>'N-Weinbau NbG'!AX32</f>
        <v>0</v>
      </c>
      <c r="M26" s="931">
        <f>'N-Weinbau NbG'!AZ32</f>
        <v>0</v>
      </c>
      <c r="N26" s="1113" t="str">
        <f t="shared" si="9"/>
        <v>0</v>
      </c>
      <c r="O26" s="1114" t="str">
        <f t="shared" si="6"/>
        <v>0</v>
      </c>
      <c r="P26" s="1114" t="str">
        <f t="shared" si="6"/>
        <v>0</v>
      </c>
      <c r="Q26" s="1114" t="str">
        <f t="shared" si="6"/>
        <v>0</v>
      </c>
      <c r="R26" s="1115" t="str">
        <f t="shared" si="6"/>
        <v>0</v>
      </c>
      <c r="S26" s="844" t="s">
        <v>1131</v>
      </c>
    </row>
    <row r="27" spans="1:19" ht="21" customHeight="1" thickBot="1" x14ac:dyDescent="0.3">
      <c r="A27" s="1503"/>
      <c r="B27" s="1168" t="s">
        <v>1137</v>
      </c>
      <c r="C27" s="1041">
        <f>C22+SUM(C24:C26)</f>
        <v>100</v>
      </c>
      <c r="D27" s="1139">
        <f>SUM(D22:D26)</f>
        <v>14437.24</v>
      </c>
      <c r="E27" s="1183">
        <f>SUM(E22:E26)</f>
        <v>6262.2320351999997</v>
      </c>
      <c r="F27" s="1051">
        <f t="shared" si="7"/>
        <v>144.3724</v>
      </c>
      <c r="G27" s="1176">
        <f t="shared" si="8"/>
        <v>62.622320351999996</v>
      </c>
      <c r="H27" s="1166"/>
      <c r="I27" s="1140">
        <f>SUM(I22:I26)</f>
        <v>11868.5</v>
      </c>
      <c r="J27" s="850">
        <f>SUM(J22:J26)</f>
        <v>7278.5</v>
      </c>
      <c r="K27" s="848">
        <f>SUM(K22:K26)</f>
        <v>7650</v>
      </c>
      <c r="L27" s="860">
        <f t="shared" ref="L27:M27" si="10">SUM(L22:L26)</f>
        <v>14928.5</v>
      </c>
      <c r="M27" s="926">
        <f t="shared" si="10"/>
        <v>3647.5</v>
      </c>
      <c r="N27" s="1051">
        <f t="shared" si="9"/>
        <v>118.685</v>
      </c>
      <c r="O27" s="1116">
        <f t="shared" si="6"/>
        <v>72.784999999999997</v>
      </c>
      <c r="P27" s="1117">
        <f t="shared" si="6"/>
        <v>76.5</v>
      </c>
      <c r="Q27" s="1116">
        <f t="shared" si="6"/>
        <v>149.285</v>
      </c>
      <c r="R27" s="1052">
        <f t="shared" si="6"/>
        <v>36.475000000000001</v>
      </c>
      <c r="S27" s="476" t="s">
        <v>1137</v>
      </c>
    </row>
    <row r="28" spans="1:19" s="515" customFormat="1" ht="35.25" customHeight="1" x14ac:dyDescent="0.25">
      <c r="A28" s="1501"/>
      <c r="B28" s="1523" t="s">
        <v>1281</v>
      </c>
      <c r="C28" s="1147" t="s">
        <v>1264</v>
      </c>
      <c r="D28" s="1138">
        <f>D27*0.8</f>
        <v>11549.792000000001</v>
      </c>
      <c r="E28" s="1136"/>
      <c r="F28" s="1136"/>
      <c r="G28" s="1136"/>
      <c r="H28" s="1136"/>
      <c r="I28" s="1148">
        <f>D28</f>
        <v>11549.792000000001</v>
      </c>
      <c r="J28" s="1138">
        <f>D28</f>
        <v>11549.792000000001</v>
      </c>
      <c r="K28" s="1138">
        <f>170*C27</f>
        <v>17000</v>
      </c>
      <c r="L28" s="1137"/>
      <c r="M28" s="1137"/>
      <c r="N28" s="1141">
        <f>IF(I28=0,0,I28/C27)</f>
        <v>115.49792000000001</v>
      </c>
      <c r="O28" s="1142">
        <f>N28</f>
        <v>115.49792000000001</v>
      </c>
      <c r="P28" s="1138" t="s">
        <v>1162</v>
      </c>
      <c r="Q28" s="1150"/>
      <c r="R28" s="1151"/>
      <c r="S28" s="475"/>
    </row>
    <row r="29" spans="1:19" s="515" customFormat="1" ht="39" customHeight="1" thickBot="1" x14ac:dyDescent="0.3">
      <c r="A29" s="1501"/>
      <c r="B29" s="1524"/>
      <c r="C29" s="1108"/>
      <c r="D29" s="1134"/>
      <c r="E29" s="1057"/>
      <c r="F29" s="1057"/>
      <c r="G29" s="1057"/>
      <c r="H29" s="1057"/>
      <c r="I29" s="1135" t="s">
        <v>1280</v>
      </c>
      <c r="J29" s="1149">
        <f>80*C27</f>
        <v>8000</v>
      </c>
      <c r="K29" s="1058"/>
      <c r="L29" s="1149">
        <f>160*C27</f>
        <v>16000</v>
      </c>
      <c r="M29" s="1058"/>
      <c r="N29" s="1143" t="s">
        <v>193</v>
      </c>
      <c r="O29" s="1144" t="s">
        <v>1160</v>
      </c>
      <c r="P29" s="1145" t="s">
        <v>190</v>
      </c>
      <c r="Q29" s="1144" t="s">
        <v>1161</v>
      </c>
      <c r="R29" s="1146" t="s">
        <v>4</v>
      </c>
      <c r="S29" s="475"/>
    </row>
    <row r="30" spans="1:19" s="515" customFormat="1" ht="29.25" customHeight="1" thickBot="1" x14ac:dyDescent="0.3">
      <c r="A30" s="80"/>
      <c r="B30" s="181"/>
      <c r="C30" s="1002"/>
      <c r="D30" s="1006"/>
      <c r="E30" s="475"/>
      <c r="F30" s="475"/>
      <c r="G30" s="475"/>
      <c r="H30" s="475"/>
      <c r="I30" s="1006"/>
      <c r="J30" s="1003"/>
      <c r="K30" s="1004"/>
      <c r="L30" s="1004"/>
      <c r="M30" s="1004"/>
      <c r="N30" s="1005"/>
      <c r="O30" s="1005"/>
      <c r="P30" s="1005"/>
      <c r="Q30" s="1005"/>
      <c r="R30" s="1005"/>
      <c r="S30" s="475"/>
    </row>
    <row r="31" spans="1:19" s="515" customFormat="1" ht="20.25" customHeight="1" thickBot="1" x14ac:dyDescent="0.3">
      <c r="A31" s="1499" t="s">
        <v>1263</v>
      </c>
      <c r="B31" s="1082"/>
      <c r="C31" s="1169" t="s">
        <v>570</v>
      </c>
      <c r="D31" s="1086"/>
      <c r="E31" s="1086"/>
      <c r="F31" s="1408"/>
      <c r="G31" s="1408"/>
      <c r="H31" s="864"/>
      <c r="I31" s="1516" t="s">
        <v>1279</v>
      </c>
      <c r="J31" s="1517"/>
      <c r="K31" s="1517"/>
      <c r="L31" s="1517"/>
      <c r="M31" s="1518"/>
      <c r="N31" s="1535"/>
      <c r="O31" s="1536"/>
      <c r="P31" s="1536"/>
      <c r="Q31" s="1536"/>
      <c r="R31" s="1537"/>
      <c r="S31" s="475"/>
    </row>
    <row r="32" spans="1:19" s="515" customFormat="1" ht="48.75" customHeight="1" thickBot="1" x14ac:dyDescent="0.3">
      <c r="A32" s="1500"/>
      <c r="B32" s="1083"/>
      <c r="C32" s="1072">
        <f>C16+C27</f>
        <v>200</v>
      </c>
      <c r="D32" s="1197" t="s">
        <v>1272</v>
      </c>
      <c r="E32" s="1199" t="s">
        <v>1285</v>
      </c>
      <c r="F32" s="1533" t="s">
        <v>1286</v>
      </c>
      <c r="G32" s="1196"/>
      <c r="H32" s="476"/>
      <c r="I32" s="1061" t="s">
        <v>1142</v>
      </c>
      <c r="J32" s="1056" t="s">
        <v>1096</v>
      </c>
      <c r="K32" s="855" t="s">
        <v>1269</v>
      </c>
      <c r="L32" s="1056" t="s">
        <v>1143</v>
      </c>
      <c r="M32" s="1062" t="s">
        <v>1155</v>
      </c>
      <c r="N32" s="1059"/>
      <c r="O32" s="1064"/>
      <c r="P32" s="1060"/>
      <c r="Q32" s="1085"/>
      <c r="R32" s="1087"/>
      <c r="S32" s="475"/>
    </row>
    <row r="33" spans="1:19" s="515" customFormat="1" ht="41.25" customHeight="1" thickBot="1" x14ac:dyDescent="0.3">
      <c r="A33" s="1500"/>
      <c r="B33" s="1541" t="s">
        <v>1282</v>
      </c>
      <c r="C33" s="1542"/>
      <c r="D33" s="1198">
        <f>D16+D28</f>
        <v>26801.232000000004</v>
      </c>
      <c r="E33" s="1200">
        <f>E16+E27</f>
        <v>12851.099142399999</v>
      </c>
      <c r="F33" s="1534"/>
      <c r="G33" s="1196"/>
      <c r="H33" s="475"/>
      <c r="I33" s="1067">
        <f>I16+I27</f>
        <v>26630.5</v>
      </c>
      <c r="J33" s="1068">
        <f>J16+J27</f>
        <v>16532.5</v>
      </c>
      <c r="K33" s="1251">
        <f>K16+K27</f>
        <v>16830</v>
      </c>
      <c r="L33" s="1068">
        <f>L16+L27</f>
        <v>33362.5</v>
      </c>
      <c r="M33" s="1069">
        <f>M16+M27</f>
        <v>8392.5</v>
      </c>
      <c r="N33" s="839"/>
      <c r="O33" s="839"/>
      <c r="P33" s="839"/>
      <c r="Q33" s="839"/>
      <c r="R33" s="1088"/>
      <c r="S33" s="1053"/>
    </row>
    <row r="34" spans="1:19" s="515" customFormat="1" ht="8.25" customHeight="1" thickBot="1" x14ac:dyDescent="0.3">
      <c r="A34" s="1500"/>
      <c r="B34" s="1092"/>
      <c r="C34" s="1093"/>
      <c r="F34" s="824"/>
      <c r="G34" s="824"/>
      <c r="H34" s="475"/>
      <c r="I34" s="1094"/>
      <c r="J34" s="1094"/>
      <c r="K34" s="1252"/>
      <c r="L34" s="1094"/>
      <c r="M34" s="1094"/>
      <c r="N34" s="839"/>
      <c r="O34" s="839"/>
      <c r="P34" s="839"/>
      <c r="Q34" s="839"/>
      <c r="R34" s="1088"/>
      <c r="S34" s="1053"/>
    </row>
    <row r="35" spans="1:19" s="515" customFormat="1" ht="31.5" customHeight="1" thickBot="1" x14ac:dyDescent="0.3">
      <c r="A35" s="1501"/>
      <c r="B35" s="1201"/>
      <c r="C35" s="1202"/>
      <c r="D35" s="1204" t="s">
        <v>1272</v>
      </c>
      <c r="E35" s="1203" t="s">
        <v>1285</v>
      </c>
      <c r="G35" s="1538" t="s">
        <v>1275</v>
      </c>
      <c r="H35" s="1187"/>
      <c r="I35" s="1188">
        <f>I40</f>
        <v>14604.102082191783</v>
      </c>
      <c r="J35" s="1189"/>
      <c r="K35" s="1253">
        <f>K40</f>
        <v>26066.466986301366</v>
      </c>
      <c r="L35" s="1190"/>
      <c r="M35" s="1188">
        <f>M40</f>
        <v>10950.547945205479</v>
      </c>
      <c r="N35" s="1191">
        <f>IF(C32=0,0,I35/C32)</f>
        <v>73.02051041095892</v>
      </c>
      <c r="O35" s="1192"/>
      <c r="P35" s="1191">
        <f>IF(C32=0,0,K35/C32)</f>
        <v>130.33233493150684</v>
      </c>
      <c r="Q35" s="1086"/>
      <c r="R35" s="1193">
        <f>IF(C32=0,0,M35/C32)</f>
        <v>54.752739726027393</v>
      </c>
      <c r="S35" s="475"/>
    </row>
    <row r="36" spans="1:19" s="515" customFormat="1" ht="57" customHeight="1" thickBot="1" x14ac:dyDescent="0.3">
      <c r="A36" s="1501"/>
      <c r="B36" s="1539" t="s">
        <v>1294</v>
      </c>
      <c r="C36" s="1540"/>
      <c r="D36" s="1198">
        <f>D33-I35</f>
        <v>12197.129917808221</v>
      </c>
      <c r="E36" s="1529">
        <f>E16+E27-M40</f>
        <v>1900.5511971945198</v>
      </c>
      <c r="F36" s="475"/>
      <c r="G36" s="1421"/>
      <c r="H36" s="475"/>
      <c r="I36" s="1084" t="s">
        <v>1276</v>
      </c>
      <c r="J36" s="1003"/>
      <c r="K36" s="684" t="s">
        <v>1274</v>
      </c>
      <c r="L36" s="1004"/>
      <c r="M36" s="1073" t="s">
        <v>1266</v>
      </c>
      <c r="N36" s="1194" t="s">
        <v>1277</v>
      </c>
      <c r="O36" s="1186"/>
      <c r="P36" s="1194" t="s">
        <v>1278</v>
      </c>
      <c r="Q36" s="1186"/>
      <c r="R36" s="1195" t="s">
        <v>1287</v>
      </c>
      <c r="S36" s="475"/>
    </row>
    <row r="37" spans="1:19" ht="63.75" customHeight="1" thickBot="1" x14ac:dyDescent="0.3">
      <c r="A37" s="1501"/>
      <c r="B37" s="1531" t="s">
        <v>1289</v>
      </c>
      <c r="C37" s="1532"/>
      <c r="D37" s="1532"/>
      <c r="E37" s="1530"/>
      <c r="G37" s="1102" t="s">
        <v>1288</v>
      </c>
      <c r="H37" s="1095"/>
      <c r="I37" s="1096">
        <f>Tierhaltung!P43</f>
        <v>14604.102082191783</v>
      </c>
      <c r="J37" s="1097"/>
      <c r="K37" s="1096">
        <f>Tierhaltung!M43</f>
        <v>26066.466986301366</v>
      </c>
      <c r="L37" s="1097"/>
      <c r="M37" s="1096">
        <f>Tierhaltung!Q43</f>
        <v>10950.547945205479</v>
      </c>
      <c r="N37" s="1525" t="s">
        <v>1293</v>
      </c>
      <c r="O37" s="1293"/>
      <c r="P37" s="1293"/>
      <c r="Q37" s="1293"/>
      <c r="R37" s="1526"/>
    </row>
    <row r="38" spans="1:19" s="825" customFormat="1" ht="20.25" customHeight="1" x14ac:dyDescent="0.25">
      <c r="A38" s="1501"/>
      <c r="B38" s="391"/>
      <c r="D38" s="862"/>
      <c r="E38" s="400"/>
      <c r="F38" s="400"/>
      <c r="G38" s="1103" t="s">
        <v>1140</v>
      </c>
      <c r="H38" s="1095"/>
      <c r="I38" s="1098">
        <f>'Organ. Dünger'!H27</f>
        <v>0</v>
      </c>
      <c r="J38" s="1097"/>
      <c r="K38" s="1098">
        <f>'Organ. Dünger'!G27</f>
        <v>0</v>
      </c>
      <c r="L38" s="1097"/>
      <c r="M38" s="1098">
        <f>'Organ. Dünger'!I27</f>
        <v>0</v>
      </c>
      <c r="N38" s="1343"/>
      <c r="O38" s="1293"/>
      <c r="P38" s="1293"/>
      <c r="Q38" s="1293"/>
      <c r="R38" s="1526"/>
    </row>
    <row r="39" spans="1:19" s="825" customFormat="1" ht="30" customHeight="1" x14ac:dyDescent="0.25">
      <c r="A39" s="1501"/>
      <c r="B39" s="391"/>
      <c r="D39" s="862"/>
      <c r="E39" s="400"/>
      <c r="F39" s="400"/>
      <c r="G39" s="1102" t="s">
        <v>1141</v>
      </c>
      <c r="H39" s="1095"/>
      <c r="I39" s="1096">
        <f>'Organ. Dünger'!H54</f>
        <v>0</v>
      </c>
      <c r="J39" s="1097"/>
      <c r="K39" s="1096">
        <f>'Organ. Dünger'!G54</f>
        <v>0</v>
      </c>
      <c r="L39" s="1097"/>
      <c r="M39" s="1096">
        <f>'Organ. Dünger'!I54</f>
        <v>0</v>
      </c>
      <c r="N39" s="1343"/>
      <c r="O39" s="1293"/>
      <c r="P39" s="1293"/>
      <c r="Q39" s="1293"/>
      <c r="R39" s="1526"/>
    </row>
    <row r="40" spans="1:19" s="825" customFormat="1" ht="21.75" customHeight="1" thickBot="1" x14ac:dyDescent="0.3">
      <c r="A40" s="1311"/>
      <c r="B40" s="1089"/>
      <c r="C40" s="1090"/>
      <c r="D40" s="1091"/>
      <c r="E40" s="1037"/>
      <c r="F40" s="1037"/>
      <c r="G40" s="1104" t="s">
        <v>292</v>
      </c>
      <c r="H40" s="1099"/>
      <c r="I40" s="1100">
        <f>I37+I38-I39</f>
        <v>14604.102082191783</v>
      </c>
      <c r="J40" s="1101"/>
      <c r="K40" s="1100">
        <f>K37+K38-K39</f>
        <v>26066.466986301366</v>
      </c>
      <c r="L40" s="1101"/>
      <c r="M40" s="1100">
        <f t="shared" ref="M40" si="11">M37+M38-M39</f>
        <v>10950.547945205479</v>
      </c>
      <c r="N40" s="1527"/>
      <c r="O40" s="1294"/>
      <c r="P40" s="1294"/>
      <c r="Q40" s="1294"/>
      <c r="R40" s="1528"/>
    </row>
    <row r="41" spans="1:19" s="825" customFormat="1" ht="14.25" customHeight="1" x14ac:dyDescent="0.25">
      <c r="B41" s="400"/>
      <c r="C41" s="1074"/>
      <c r="D41" s="838"/>
      <c r="E41" s="1075"/>
      <c r="F41" s="400"/>
      <c r="G41" s="838"/>
      <c r="H41" s="819"/>
      <c r="J41" s="840"/>
      <c r="K41" s="840"/>
      <c r="L41" s="840"/>
      <c r="M41" s="840"/>
      <c r="N41" s="840"/>
      <c r="O41" s="840"/>
      <c r="P41" s="840"/>
      <c r="Q41" s="840"/>
    </row>
    <row r="42" spans="1:19" s="825" customFormat="1" ht="23.25" customHeight="1" x14ac:dyDescent="0.25">
      <c r="B42" s="1066"/>
      <c r="C42" s="1066"/>
      <c r="D42" s="1076"/>
      <c r="F42" s="838"/>
      <c r="G42" s="1076"/>
      <c r="H42" s="819"/>
      <c r="J42" s="840"/>
      <c r="K42" s="840"/>
      <c r="L42" s="840"/>
      <c r="M42" s="840"/>
      <c r="N42" s="840"/>
      <c r="O42" s="840"/>
      <c r="P42" s="840"/>
      <c r="Q42" s="840"/>
    </row>
    <row r="43" spans="1:19" s="825" customFormat="1" ht="33" customHeight="1" x14ac:dyDescent="0.25">
      <c r="D43" s="1077"/>
      <c r="F43" s="476"/>
      <c r="H43" s="819"/>
      <c r="I43" s="819"/>
      <c r="J43" s="839"/>
      <c r="K43" s="839"/>
      <c r="L43" s="839"/>
      <c r="M43" s="839"/>
      <c r="N43" s="840"/>
      <c r="O43" s="840"/>
      <c r="P43" s="840"/>
      <c r="Q43" s="840"/>
    </row>
    <row r="44" spans="1:19" s="825" customFormat="1" ht="24.75" customHeight="1" x14ac:dyDescent="0.25">
      <c r="B44" s="1078"/>
      <c r="C44" s="1079"/>
      <c r="D44" s="1079"/>
      <c r="E44" s="1079"/>
      <c r="F44" s="1080"/>
      <c r="G44" s="1081"/>
      <c r="H44" s="476"/>
      <c r="I44" s="823"/>
      <c r="J44" s="823"/>
      <c r="K44" s="823"/>
      <c r="L44" s="823"/>
      <c r="M44" s="823"/>
      <c r="N44" s="839"/>
      <c r="O44" s="839"/>
      <c r="P44" s="840"/>
      <c r="Q44" s="840"/>
    </row>
    <row r="45" spans="1:19" ht="27.75" customHeight="1" x14ac:dyDescent="0.25">
      <c r="B45" s="445"/>
      <c r="C45" s="445"/>
      <c r="D45" s="445"/>
      <c r="E45" s="445"/>
      <c r="F45" s="1081"/>
      <c r="I45" s="826"/>
      <c r="J45" s="826"/>
      <c r="K45" s="826"/>
      <c r="L45" s="826"/>
      <c r="M45" s="826"/>
      <c r="N45" s="823"/>
      <c r="O45" s="823"/>
    </row>
    <row r="46" spans="1:19" ht="21" customHeight="1" x14ac:dyDescent="0.25">
      <c r="B46" s="445"/>
      <c r="C46" s="445"/>
      <c r="D46" s="827"/>
      <c r="E46" s="827"/>
      <c r="I46" s="828"/>
      <c r="J46" s="828"/>
      <c r="K46" s="828"/>
      <c r="L46" s="828"/>
      <c r="M46" s="828"/>
      <c r="N46" s="826"/>
      <c r="O46" s="826"/>
    </row>
    <row r="47" spans="1:19" ht="21" customHeight="1" x14ac:dyDescent="0.25">
      <c r="F47" s="821"/>
      <c r="I47" s="823"/>
      <c r="J47" s="823"/>
      <c r="K47" s="823"/>
      <c r="L47" s="823"/>
      <c r="M47" s="823"/>
      <c r="N47" s="828"/>
      <c r="O47" s="828"/>
      <c r="Q47" s="831"/>
    </row>
    <row r="48" spans="1:19" x14ac:dyDescent="0.25">
      <c r="D48" s="829"/>
      <c r="E48" s="829"/>
      <c r="I48" s="823"/>
      <c r="J48" s="823"/>
      <c r="K48" s="823"/>
      <c r="L48" s="823"/>
      <c r="M48" s="823"/>
      <c r="N48" s="823"/>
      <c r="O48" s="823"/>
    </row>
    <row r="49" spans="2:15" x14ac:dyDescent="0.25">
      <c r="B49" s="830"/>
      <c r="C49" s="830"/>
      <c r="I49" s="823"/>
      <c r="J49" s="823"/>
      <c r="K49" s="823"/>
      <c r="L49" s="823"/>
      <c r="M49" s="823"/>
      <c r="N49" s="823"/>
      <c r="O49" s="823"/>
    </row>
    <row r="50" spans="2:15" x14ac:dyDescent="0.25">
      <c r="D50" s="829"/>
      <c r="E50" s="829"/>
      <c r="N50" s="823"/>
      <c r="O50" s="823"/>
    </row>
    <row r="51" spans="2:15" x14ac:dyDescent="0.25">
      <c r="B51" s="445"/>
      <c r="C51" s="445"/>
    </row>
    <row r="52" spans="2:15" x14ac:dyDescent="0.25">
      <c r="B52" s="831"/>
      <c r="C52" s="831"/>
      <c r="D52" s="831"/>
      <c r="E52" s="831"/>
      <c r="G52" s="832"/>
      <c r="H52" s="832"/>
      <c r="I52" s="832"/>
      <c r="J52" s="832"/>
      <c r="K52" s="832"/>
      <c r="L52" s="831"/>
      <c r="M52" s="831"/>
    </row>
    <row r="53" spans="2:15" x14ac:dyDescent="0.25">
      <c r="B53" s="831"/>
      <c r="C53" s="831"/>
      <c r="D53" s="129"/>
      <c r="E53" s="129"/>
      <c r="F53" s="832"/>
      <c r="G53" s="701"/>
      <c r="H53" s="701"/>
      <c r="I53" s="701"/>
      <c r="J53" s="701"/>
      <c r="K53" s="701"/>
      <c r="L53" s="129"/>
      <c r="M53" s="129"/>
      <c r="N53" s="831"/>
      <c r="O53" s="831"/>
    </row>
    <row r="54" spans="2:15" x14ac:dyDescent="0.25">
      <c r="B54" s="831"/>
      <c r="C54" s="831"/>
      <c r="D54" s="833"/>
      <c r="E54" s="833"/>
      <c r="F54" s="701"/>
      <c r="G54" s="831"/>
      <c r="H54" s="831"/>
      <c r="I54" s="831"/>
      <c r="J54" s="831"/>
      <c r="K54" s="831"/>
      <c r="L54" s="834"/>
      <c r="M54" s="834"/>
      <c r="N54" s="129"/>
      <c r="O54" s="129"/>
    </row>
    <row r="55" spans="2:15" x14ac:dyDescent="0.25">
      <c r="B55" s="832"/>
      <c r="C55" s="832"/>
      <c r="D55" s="835"/>
      <c r="E55" s="835"/>
      <c r="F55" s="831"/>
      <c r="G55" s="831"/>
      <c r="H55" s="831"/>
      <c r="I55" s="831"/>
      <c r="J55" s="831"/>
      <c r="K55" s="831"/>
      <c r="L55" s="831"/>
      <c r="M55" s="831"/>
      <c r="N55" s="834"/>
      <c r="O55" s="834"/>
    </row>
    <row r="56" spans="2:15" x14ac:dyDescent="0.25">
      <c r="B56" s="831"/>
      <c r="C56" s="831"/>
      <c r="D56" s="833"/>
      <c r="E56" s="833"/>
      <c r="F56" s="831"/>
      <c r="G56" s="831"/>
      <c r="H56" s="831"/>
      <c r="I56" s="831"/>
      <c r="J56" s="831"/>
      <c r="K56" s="831"/>
      <c r="L56" s="831"/>
      <c r="M56" s="831"/>
      <c r="N56" s="831"/>
      <c r="O56" s="831"/>
    </row>
    <row r="57" spans="2:15" x14ac:dyDescent="0.25">
      <c r="B57" s="831"/>
      <c r="C57" s="831"/>
      <c r="D57" s="831"/>
      <c r="E57" s="831"/>
      <c r="F57" s="831"/>
      <c r="G57" s="831"/>
      <c r="H57" s="831"/>
      <c r="I57" s="831"/>
      <c r="J57" s="831"/>
      <c r="K57" s="831"/>
      <c r="L57" s="831"/>
      <c r="M57" s="831"/>
      <c r="N57" s="831"/>
      <c r="O57" s="831"/>
    </row>
    <row r="58" spans="2:15" x14ac:dyDescent="0.25">
      <c r="F58" s="831"/>
      <c r="N58" s="831"/>
      <c r="O58" s="831"/>
    </row>
  </sheetData>
  <sheetProtection sheet="1" formatCells="0" formatColumns="0" formatRows="0" selectLockedCells="1" selectUnlockedCells="1"/>
  <mergeCells count="30">
    <mergeCell ref="I20:M20"/>
    <mergeCell ref="N20:R20"/>
    <mergeCell ref="C19:G19"/>
    <mergeCell ref="B28:B29"/>
    <mergeCell ref="N37:R40"/>
    <mergeCell ref="E36:E37"/>
    <mergeCell ref="B37:D37"/>
    <mergeCell ref="F32:F33"/>
    <mergeCell ref="F31:G31"/>
    <mergeCell ref="I31:M31"/>
    <mergeCell ref="N31:R31"/>
    <mergeCell ref="G35:G36"/>
    <mergeCell ref="B36:C36"/>
    <mergeCell ref="B33:C33"/>
    <mergeCell ref="A31:A40"/>
    <mergeCell ref="A19:A29"/>
    <mergeCell ref="A3:R3"/>
    <mergeCell ref="A1:R1"/>
    <mergeCell ref="A2:R2"/>
    <mergeCell ref="A4:R4"/>
    <mergeCell ref="C8:G8"/>
    <mergeCell ref="A8:A17"/>
    <mergeCell ref="I9:M9"/>
    <mergeCell ref="N9:R9"/>
    <mergeCell ref="I8:R8"/>
    <mergeCell ref="D9:E9"/>
    <mergeCell ref="F9:G9"/>
    <mergeCell ref="I19:R19"/>
    <mergeCell ref="D20:E20"/>
    <mergeCell ref="F20:G20"/>
  </mergeCells>
  <pageMargins left="0.51181102362204722" right="0.31496062992125984" top="0.39370078740157483" bottom="0.59055118110236227" header="0.31496062992125984" footer="0.31496062992125984"/>
  <pageSetup paperSize="9" scale="55" orientation="landscape" r:id="rId1"/>
  <rowBreaks count="1" manualBreakCount="1">
    <brk id="30" max="17" man="1"/>
  </rowBreaks>
  <colBreaks count="1" manualBreakCount="1">
    <brk id="18" min="3" max="37"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T89"/>
  <sheetViews>
    <sheetView zoomScaleNormal="100" workbookViewId="0">
      <selection activeCell="F51" sqref="F51"/>
    </sheetView>
  </sheetViews>
  <sheetFormatPr baseColWidth="10" defaultRowHeight="15" x14ac:dyDescent="0.25"/>
  <cols>
    <col min="1" max="1" width="3.5703125" style="400" customWidth="1"/>
    <col min="2" max="2" width="40.85546875" style="659" customWidth="1"/>
    <col min="3" max="3" width="11.42578125" style="400"/>
    <col min="4" max="4" width="14.42578125" style="400" customWidth="1"/>
    <col min="5" max="5" width="11.42578125" style="400"/>
    <col min="6" max="6" width="11.42578125" style="400" customWidth="1"/>
    <col min="7" max="7" width="26" style="400" customWidth="1"/>
    <col min="8" max="14" width="4.28515625" style="400" customWidth="1"/>
    <col min="15" max="15" width="11.42578125" style="400"/>
    <col min="16" max="16" width="38.42578125" style="659" customWidth="1"/>
    <col min="17" max="17" width="11.42578125" style="400"/>
    <col min="18" max="18" width="15.5703125" style="400" customWidth="1"/>
    <col min="19" max="16384" width="11.42578125" style="400"/>
  </cols>
  <sheetData>
    <row r="2" spans="2:20" ht="72.75" customHeight="1" x14ac:dyDescent="0.25">
      <c r="B2" s="659" t="s">
        <v>1070</v>
      </c>
      <c r="C2" s="1544" t="s">
        <v>1172</v>
      </c>
      <c r="D2" s="1544"/>
      <c r="E2" s="1544"/>
      <c r="F2" s="1544"/>
      <c r="P2" s="769" t="s">
        <v>1069</v>
      </c>
    </row>
    <row r="4" spans="2:20" ht="15.75" x14ac:dyDescent="0.25">
      <c r="B4" s="165" t="s">
        <v>830</v>
      </c>
      <c r="C4" s="1543" t="s">
        <v>833</v>
      </c>
      <c r="D4" s="1457"/>
      <c r="E4" s="1457"/>
      <c r="F4" s="1458"/>
      <c r="H4" s="519"/>
      <c r="I4" s="519"/>
      <c r="P4" s="165" t="s">
        <v>830</v>
      </c>
      <c r="Q4" s="1543" t="s">
        <v>833</v>
      </c>
      <c r="R4" s="1457"/>
      <c r="S4" s="1457"/>
      <c r="T4" s="1458"/>
    </row>
    <row r="5" spans="2:20" ht="18.75" x14ac:dyDescent="0.25">
      <c r="B5" s="165"/>
      <c r="C5" s="312" t="s">
        <v>177</v>
      </c>
      <c r="D5" s="766" t="s">
        <v>834</v>
      </c>
      <c r="E5" s="312" t="s">
        <v>290</v>
      </c>
      <c r="F5" s="312" t="s">
        <v>291</v>
      </c>
      <c r="H5" s="519"/>
      <c r="I5" s="519"/>
      <c r="P5" s="165"/>
      <c r="Q5" s="312" t="s">
        <v>177</v>
      </c>
      <c r="R5" s="766" t="s">
        <v>834</v>
      </c>
      <c r="S5" s="312" t="s">
        <v>290</v>
      </c>
      <c r="T5" s="312" t="s">
        <v>291</v>
      </c>
    </row>
    <row r="6" spans="2:20" ht="15.75" x14ac:dyDescent="0.25">
      <c r="B6" s="164" t="s">
        <v>805</v>
      </c>
      <c r="C6" s="744">
        <v>0</v>
      </c>
      <c r="D6" s="179">
        <v>0</v>
      </c>
      <c r="E6" s="744">
        <v>0</v>
      </c>
      <c r="F6" s="698">
        <v>0</v>
      </c>
      <c r="H6" s="519"/>
      <c r="I6" s="519"/>
      <c r="P6" s="164" t="s">
        <v>805</v>
      </c>
      <c r="Q6" s="744">
        <v>0</v>
      </c>
      <c r="R6" s="179">
        <v>0</v>
      </c>
      <c r="S6" s="744">
        <v>0</v>
      </c>
      <c r="T6" s="698">
        <v>0</v>
      </c>
    </row>
    <row r="7" spans="2:20" ht="15.75" x14ac:dyDescent="0.25">
      <c r="B7" s="888" t="s">
        <v>293</v>
      </c>
      <c r="C7" s="889">
        <v>15.5</v>
      </c>
      <c r="D7" s="890">
        <v>100</v>
      </c>
      <c r="E7" s="889">
        <v>0</v>
      </c>
      <c r="F7" s="891">
        <v>0</v>
      </c>
      <c r="G7" s="1343" t="s">
        <v>1201</v>
      </c>
      <c r="H7" s="519"/>
      <c r="I7" s="519"/>
      <c r="P7" s="164" t="s">
        <v>293</v>
      </c>
      <c r="Q7" s="744">
        <v>15.5</v>
      </c>
      <c r="R7" s="179">
        <v>100</v>
      </c>
      <c r="S7" s="744">
        <v>0</v>
      </c>
      <c r="T7" s="698">
        <v>0</v>
      </c>
    </row>
    <row r="8" spans="2:20" ht="15.75" x14ac:dyDescent="0.25">
      <c r="B8" s="888" t="s">
        <v>841</v>
      </c>
      <c r="C8" s="889">
        <v>27</v>
      </c>
      <c r="D8" s="890">
        <v>100</v>
      </c>
      <c r="E8" s="889">
        <v>0</v>
      </c>
      <c r="F8" s="891">
        <v>0</v>
      </c>
      <c r="G8" s="1343"/>
      <c r="H8" s="519"/>
      <c r="I8" s="519"/>
      <c r="P8" s="164" t="s">
        <v>841</v>
      </c>
      <c r="Q8" s="744">
        <v>27</v>
      </c>
      <c r="R8" s="179">
        <v>100</v>
      </c>
      <c r="S8" s="744">
        <v>0</v>
      </c>
      <c r="T8" s="698">
        <v>0</v>
      </c>
    </row>
    <row r="9" spans="2:20" ht="15.75" x14ac:dyDescent="0.25">
      <c r="B9" s="888" t="s">
        <v>845</v>
      </c>
      <c r="C9" s="889">
        <v>24</v>
      </c>
      <c r="D9" s="890">
        <v>100</v>
      </c>
      <c r="E9" s="889">
        <v>0</v>
      </c>
      <c r="F9" s="891">
        <v>0</v>
      </c>
      <c r="G9" s="1343"/>
      <c r="H9" s="519"/>
      <c r="I9" s="519"/>
      <c r="P9" s="164" t="s">
        <v>845</v>
      </c>
      <c r="Q9" s="744">
        <v>24</v>
      </c>
      <c r="R9" s="179">
        <v>100</v>
      </c>
      <c r="S9" s="744">
        <v>0</v>
      </c>
      <c r="T9" s="698">
        <v>0</v>
      </c>
    </row>
    <row r="10" spans="2:20" ht="15.75" x14ac:dyDescent="0.25">
      <c r="B10" s="888" t="s">
        <v>294</v>
      </c>
      <c r="C10" s="889">
        <v>24</v>
      </c>
      <c r="D10" s="890">
        <v>100</v>
      </c>
      <c r="E10" s="889">
        <v>0</v>
      </c>
      <c r="F10" s="891">
        <v>0</v>
      </c>
      <c r="G10" s="1343"/>
      <c r="H10" s="519"/>
      <c r="I10" s="519"/>
      <c r="P10" s="164" t="s">
        <v>294</v>
      </c>
      <c r="Q10" s="744">
        <v>24</v>
      </c>
      <c r="R10" s="179">
        <v>100</v>
      </c>
      <c r="S10" s="744">
        <v>0</v>
      </c>
      <c r="T10" s="698">
        <v>0</v>
      </c>
    </row>
    <row r="11" spans="2:20" ht="15.75" x14ac:dyDescent="0.25">
      <c r="B11" s="888" t="s">
        <v>842</v>
      </c>
      <c r="C11" s="889">
        <v>26</v>
      </c>
      <c r="D11" s="890">
        <v>100</v>
      </c>
      <c r="E11" s="889">
        <v>0</v>
      </c>
      <c r="F11" s="891">
        <v>0</v>
      </c>
      <c r="G11" s="1343"/>
      <c r="H11" s="519"/>
      <c r="I11" s="519"/>
      <c r="P11" s="164" t="s">
        <v>842</v>
      </c>
      <c r="Q11" s="744">
        <v>26</v>
      </c>
      <c r="R11" s="179">
        <v>100</v>
      </c>
      <c r="S11" s="744">
        <v>0</v>
      </c>
      <c r="T11" s="698">
        <v>0</v>
      </c>
    </row>
    <row r="12" spans="2:20" ht="15.75" x14ac:dyDescent="0.25">
      <c r="B12" s="888" t="s">
        <v>846</v>
      </c>
      <c r="C12" s="889">
        <v>21</v>
      </c>
      <c r="D12" s="890">
        <v>100</v>
      </c>
      <c r="E12" s="889">
        <v>0</v>
      </c>
      <c r="F12" s="891">
        <v>0</v>
      </c>
      <c r="G12" s="1343"/>
      <c r="H12" s="519"/>
      <c r="I12" s="519"/>
      <c r="P12" s="164" t="s">
        <v>846</v>
      </c>
      <c r="Q12" s="744">
        <v>21</v>
      </c>
      <c r="R12" s="179">
        <v>100</v>
      </c>
      <c r="S12" s="744">
        <v>0</v>
      </c>
      <c r="T12" s="698">
        <v>0</v>
      </c>
    </row>
    <row r="13" spans="2:20" ht="15.75" x14ac:dyDescent="0.25">
      <c r="B13" s="888" t="s">
        <v>843</v>
      </c>
      <c r="C13" s="889">
        <v>33</v>
      </c>
      <c r="D13" s="890">
        <v>100</v>
      </c>
      <c r="E13" s="889">
        <v>0</v>
      </c>
      <c r="F13" s="891">
        <v>0</v>
      </c>
      <c r="G13" s="1343"/>
      <c r="H13" s="519"/>
      <c r="I13" s="519"/>
      <c r="P13" s="164" t="s">
        <v>843</v>
      </c>
      <c r="Q13" s="744">
        <v>33</v>
      </c>
      <c r="R13" s="179">
        <v>100</v>
      </c>
      <c r="S13" s="744">
        <v>0</v>
      </c>
      <c r="T13" s="698">
        <v>0</v>
      </c>
    </row>
    <row r="14" spans="2:20" ht="15.75" x14ac:dyDescent="0.25">
      <c r="B14" s="888" t="s">
        <v>844</v>
      </c>
      <c r="C14" s="892">
        <v>38</v>
      </c>
      <c r="D14" s="890">
        <v>100</v>
      </c>
      <c r="E14" s="889">
        <v>0</v>
      </c>
      <c r="F14" s="891">
        <v>0</v>
      </c>
      <c r="G14" s="1343"/>
      <c r="H14" s="519"/>
      <c r="I14" s="519"/>
      <c r="P14" s="164" t="s">
        <v>844</v>
      </c>
      <c r="Q14" s="167">
        <v>38</v>
      </c>
      <c r="R14" s="179">
        <v>100</v>
      </c>
      <c r="S14" s="744">
        <v>0</v>
      </c>
      <c r="T14" s="698">
        <v>0</v>
      </c>
    </row>
    <row r="15" spans="2:20" ht="15.75" x14ac:dyDescent="0.25">
      <c r="B15" s="888" t="s">
        <v>295</v>
      </c>
      <c r="C15" s="889">
        <v>46</v>
      </c>
      <c r="D15" s="890">
        <v>100</v>
      </c>
      <c r="E15" s="889">
        <v>0</v>
      </c>
      <c r="F15" s="891">
        <v>0</v>
      </c>
      <c r="G15" s="1343"/>
      <c r="H15" s="519"/>
      <c r="I15" s="519"/>
      <c r="P15" s="164" t="s">
        <v>295</v>
      </c>
      <c r="Q15" s="744">
        <v>46</v>
      </c>
      <c r="R15" s="179">
        <v>100</v>
      </c>
      <c r="S15" s="744">
        <v>0</v>
      </c>
      <c r="T15" s="698">
        <v>0</v>
      </c>
    </row>
    <row r="16" spans="2:20" ht="15.75" x14ac:dyDescent="0.25">
      <c r="B16" s="888" t="s">
        <v>806</v>
      </c>
      <c r="C16" s="889">
        <v>28</v>
      </c>
      <c r="D16" s="890">
        <v>100</v>
      </c>
      <c r="E16" s="889">
        <v>0</v>
      </c>
      <c r="F16" s="891">
        <v>0</v>
      </c>
      <c r="G16" s="1343"/>
      <c r="H16" s="519"/>
      <c r="I16" s="519"/>
      <c r="P16" s="164" t="s">
        <v>806</v>
      </c>
      <c r="Q16" s="744">
        <v>28</v>
      </c>
      <c r="R16" s="179">
        <v>100</v>
      </c>
      <c r="S16" s="744">
        <v>0</v>
      </c>
      <c r="T16" s="698">
        <v>0</v>
      </c>
    </row>
    <row r="17" spans="2:20" ht="15.75" x14ac:dyDescent="0.25">
      <c r="B17" s="888" t="s">
        <v>807</v>
      </c>
      <c r="C17" s="892">
        <v>30</v>
      </c>
      <c r="D17" s="890">
        <v>100</v>
      </c>
      <c r="E17" s="889">
        <v>0</v>
      </c>
      <c r="F17" s="891">
        <v>0</v>
      </c>
      <c r="G17" s="1343"/>
      <c r="H17" s="519"/>
      <c r="I17" s="519"/>
      <c r="P17" s="164" t="s">
        <v>807</v>
      </c>
      <c r="Q17" s="167">
        <v>30</v>
      </c>
      <c r="R17" s="179">
        <v>100</v>
      </c>
      <c r="S17" s="744">
        <v>0</v>
      </c>
      <c r="T17" s="698">
        <v>0</v>
      </c>
    </row>
    <row r="18" spans="2:20" ht="15.75" x14ac:dyDescent="0.25">
      <c r="B18" s="888" t="s">
        <v>296</v>
      </c>
      <c r="C18" s="889">
        <v>8</v>
      </c>
      <c r="D18" s="890">
        <v>100</v>
      </c>
      <c r="E18" s="889">
        <v>0</v>
      </c>
      <c r="F18" s="891">
        <v>0</v>
      </c>
      <c r="G18" s="1343"/>
      <c r="H18" s="519"/>
      <c r="I18" s="519"/>
      <c r="P18" s="164" t="s">
        <v>296</v>
      </c>
      <c r="Q18" s="744">
        <v>8</v>
      </c>
      <c r="R18" s="179">
        <v>100</v>
      </c>
      <c r="S18" s="744">
        <v>0</v>
      </c>
      <c r="T18" s="698">
        <v>0</v>
      </c>
    </row>
    <row r="19" spans="2:20" ht="15.75" x14ac:dyDescent="0.25">
      <c r="B19" s="888" t="s">
        <v>847</v>
      </c>
      <c r="C19" s="889">
        <v>15</v>
      </c>
      <c r="D19" s="890">
        <v>100</v>
      </c>
      <c r="E19" s="889">
        <v>0</v>
      </c>
      <c r="F19" s="891">
        <v>0</v>
      </c>
      <c r="G19" s="1343"/>
      <c r="H19" s="519"/>
      <c r="I19" s="519"/>
      <c r="P19" s="164" t="s">
        <v>847</v>
      </c>
      <c r="Q19" s="744">
        <v>15</v>
      </c>
      <c r="R19" s="179">
        <v>100</v>
      </c>
      <c r="S19" s="744">
        <v>0</v>
      </c>
      <c r="T19" s="698">
        <v>0</v>
      </c>
    </row>
    <row r="20" spans="2:20" ht="15.75" x14ac:dyDescent="0.25">
      <c r="B20" s="888" t="s">
        <v>297</v>
      </c>
      <c r="C20" s="889">
        <v>19.8</v>
      </c>
      <c r="D20" s="890">
        <v>100</v>
      </c>
      <c r="E20" s="889">
        <v>0</v>
      </c>
      <c r="F20" s="891">
        <v>0</v>
      </c>
      <c r="G20" s="1343"/>
      <c r="H20" s="519"/>
      <c r="I20" s="519"/>
      <c r="P20" s="164" t="s">
        <v>297</v>
      </c>
      <c r="Q20" s="744">
        <v>19.8</v>
      </c>
      <c r="R20" s="179">
        <v>100</v>
      </c>
      <c r="S20" s="744">
        <v>0</v>
      </c>
      <c r="T20" s="698">
        <v>0</v>
      </c>
    </row>
    <row r="21" spans="2:20" ht="15.75" x14ac:dyDescent="0.25">
      <c r="B21" s="888" t="s">
        <v>808</v>
      </c>
      <c r="C21" s="889">
        <v>20</v>
      </c>
      <c r="D21" s="890">
        <v>100</v>
      </c>
      <c r="E21" s="889">
        <v>20</v>
      </c>
      <c r="F21" s="891">
        <v>0</v>
      </c>
      <c r="G21" s="1343"/>
      <c r="H21" s="519"/>
      <c r="I21" s="519"/>
      <c r="P21" s="164" t="s">
        <v>808</v>
      </c>
      <c r="Q21" s="744">
        <v>20</v>
      </c>
      <c r="R21" s="179">
        <v>100</v>
      </c>
      <c r="S21" s="744">
        <v>20</v>
      </c>
      <c r="T21" s="698">
        <v>0</v>
      </c>
    </row>
    <row r="22" spans="2:20" ht="15.75" x14ac:dyDescent="0.25">
      <c r="B22" s="888" t="s">
        <v>809</v>
      </c>
      <c r="C22" s="889">
        <v>10</v>
      </c>
      <c r="D22" s="890">
        <v>100</v>
      </c>
      <c r="E22" s="889">
        <v>34</v>
      </c>
      <c r="F22" s="891">
        <v>0</v>
      </c>
      <c r="G22" s="1343"/>
      <c r="H22" s="519"/>
      <c r="I22" s="519"/>
      <c r="P22" s="164" t="s">
        <v>809</v>
      </c>
      <c r="Q22" s="744">
        <v>10</v>
      </c>
      <c r="R22" s="179">
        <v>100</v>
      </c>
      <c r="S22" s="744">
        <v>34</v>
      </c>
      <c r="T22" s="698">
        <v>0</v>
      </c>
    </row>
    <row r="23" spans="2:20" ht="15.75" x14ac:dyDescent="0.25">
      <c r="B23" s="888" t="s">
        <v>848</v>
      </c>
      <c r="C23" s="889">
        <v>18</v>
      </c>
      <c r="D23" s="890">
        <v>100</v>
      </c>
      <c r="E23" s="889">
        <v>46</v>
      </c>
      <c r="F23" s="891">
        <v>0</v>
      </c>
      <c r="G23" s="1343"/>
      <c r="H23" s="519"/>
      <c r="I23" s="519"/>
      <c r="P23" s="164" t="s">
        <v>848</v>
      </c>
      <c r="Q23" s="744">
        <v>18</v>
      </c>
      <c r="R23" s="179">
        <v>100</v>
      </c>
      <c r="S23" s="744">
        <v>46</v>
      </c>
      <c r="T23" s="698">
        <v>0</v>
      </c>
    </row>
    <row r="24" spans="2:20" ht="15.75" x14ac:dyDescent="0.25">
      <c r="B24" s="888" t="s">
        <v>810</v>
      </c>
      <c r="C24" s="889">
        <v>15</v>
      </c>
      <c r="D24" s="890">
        <v>100</v>
      </c>
      <c r="E24" s="889">
        <v>15</v>
      </c>
      <c r="F24" s="891">
        <v>0</v>
      </c>
      <c r="G24" s="1343"/>
      <c r="H24" s="519"/>
      <c r="I24" s="519"/>
      <c r="P24" s="164" t="s">
        <v>810</v>
      </c>
      <c r="Q24" s="744">
        <v>15</v>
      </c>
      <c r="R24" s="179">
        <v>100</v>
      </c>
      <c r="S24" s="744">
        <v>15</v>
      </c>
      <c r="T24" s="698">
        <v>0</v>
      </c>
    </row>
    <row r="25" spans="2:20" ht="15.75" x14ac:dyDescent="0.25">
      <c r="B25" s="888" t="s">
        <v>811</v>
      </c>
      <c r="C25" s="892">
        <v>13</v>
      </c>
      <c r="D25" s="890">
        <v>100</v>
      </c>
      <c r="E25" s="892">
        <v>13</v>
      </c>
      <c r="F25" s="891">
        <v>0</v>
      </c>
      <c r="G25" s="1343"/>
      <c r="P25" s="164" t="s">
        <v>811</v>
      </c>
      <c r="Q25" s="167">
        <v>13</v>
      </c>
      <c r="R25" s="179">
        <v>100</v>
      </c>
      <c r="S25" s="167">
        <v>13</v>
      </c>
      <c r="T25" s="698">
        <v>0</v>
      </c>
    </row>
    <row r="26" spans="2:20" ht="15.75" x14ac:dyDescent="0.25">
      <c r="B26" s="888" t="s">
        <v>812</v>
      </c>
      <c r="C26" s="893">
        <v>20</v>
      </c>
      <c r="D26" s="890">
        <v>100</v>
      </c>
      <c r="E26" s="893">
        <v>8</v>
      </c>
      <c r="F26" s="891">
        <v>0</v>
      </c>
      <c r="G26" s="1343"/>
      <c r="P26" s="164" t="s">
        <v>812</v>
      </c>
      <c r="Q26" s="763">
        <v>20</v>
      </c>
      <c r="R26" s="179">
        <v>100</v>
      </c>
      <c r="S26" s="763">
        <v>8</v>
      </c>
      <c r="T26" s="698">
        <v>0</v>
      </c>
    </row>
    <row r="27" spans="2:20" ht="15.75" x14ac:dyDescent="0.25">
      <c r="B27" s="888" t="s">
        <v>298</v>
      </c>
      <c r="C27" s="889">
        <v>0</v>
      </c>
      <c r="D27" s="890">
        <v>100</v>
      </c>
      <c r="E27" s="889">
        <v>18</v>
      </c>
      <c r="F27" s="891">
        <v>0</v>
      </c>
      <c r="G27" s="1343"/>
      <c r="P27" s="164" t="s">
        <v>298</v>
      </c>
      <c r="Q27" s="744">
        <v>0</v>
      </c>
      <c r="R27" s="179">
        <v>100</v>
      </c>
      <c r="S27" s="744">
        <v>18</v>
      </c>
      <c r="T27" s="698">
        <v>0</v>
      </c>
    </row>
    <row r="28" spans="2:20" ht="15.75" x14ac:dyDescent="0.25">
      <c r="B28" s="888" t="s">
        <v>849</v>
      </c>
      <c r="C28" s="889">
        <v>0</v>
      </c>
      <c r="D28" s="890">
        <v>100</v>
      </c>
      <c r="E28" s="889">
        <v>46</v>
      </c>
      <c r="F28" s="891">
        <v>0</v>
      </c>
      <c r="G28" s="1343"/>
      <c r="P28" s="164" t="s">
        <v>849</v>
      </c>
      <c r="Q28" s="744">
        <v>0</v>
      </c>
      <c r="R28" s="179">
        <v>100</v>
      </c>
      <c r="S28" s="744">
        <v>46</v>
      </c>
      <c r="T28" s="698">
        <v>0</v>
      </c>
    </row>
    <row r="29" spans="2:20" ht="15.75" x14ac:dyDescent="0.25">
      <c r="B29" s="888" t="s">
        <v>1125</v>
      </c>
      <c r="C29" s="889">
        <v>0</v>
      </c>
      <c r="D29" s="890">
        <v>100</v>
      </c>
      <c r="E29" s="889">
        <v>0</v>
      </c>
      <c r="F29" s="891">
        <v>0</v>
      </c>
      <c r="G29" s="1343"/>
      <c r="P29" s="164" t="s">
        <v>1125</v>
      </c>
      <c r="Q29" s="744">
        <v>0</v>
      </c>
      <c r="R29" s="179">
        <v>100</v>
      </c>
      <c r="S29" s="744">
        <v>0</v>
      </c>
      <c r="T29" s="698">
        <v>0</v>
      </c>
    </row>
    <row r="30" spans="2:20" ht="15.75" x14ac:dyDescent="0.25">
      <c r="B30" s="888" t="s">
        <v>1126</v>
      </c>
      <c r="C30" s="889">
        <v>0</v>
      </c>
      <c r="D30" s="890">
        <v>100</v>
      </c>
      <c r="E30" s="889">
        <v>0</v>
      </c>
      <c r="F30" s="891">
        <v>0</v>
      </c>
      <c r="G30" s="1343"/>
      <c r="P30" s="164" t="s">
        <v>1126</v>
      </c>
      <c r="Q30" s="744">
        <v>0</v>
      </c>
      <c r="R30" s="179">
        <v>100</v>
      </c>
      <c r="S30" s="744">
        <v>0</v>
      </c>
      <c r="T30" s="698">
        <v>0</v>
      </c>
    </row>
    <row r="31" spans="2:20" ht="15.75" x14ac:dyDescent="0.25">
      <c r="B31" s="888" t="s">
        <v>1127</v>
      </c>
      <c r="C31" s="889">
        <v>0</v>
      </c>
      <c r="D31" s="890">
        <v>100</v>
      </c>
      <c r="E31" s="889">
        <v>0</v>
      </c>
      <c r="F31" s="891">
        <v>0</v>
      </c>
      <c r="G31" s="1343"/>
      <c r="P31" s="164" t="s">
        <v>1127</v>
      </c>
      <c r="Q31" s="744">
        <v>0</v>
      </c>
      <c r="R31" s="179">
        <v>100</v>
      </c>
      <c r="S31" s="744">
        <v>0</v>
      </c>
      <c r="T31" s="698">
        <v>0</v>
      </c>
    </row>
    <row r="32" spans="2:20" ht="15.75" x14ac:dyDescent="0.25">
      <c r="B32" s="888" t="s">
        <v>1128</v>
      </c>
      <c r="C32" s="889">
        <v>0</v>
      </c>
      <c r="D32" s="890">
        <v>100</v>
      </c>
      <c r="E32" s="889">
        <v>0</v>
      </c>
      <c r="F32" s="891">
        <v>0</v>
      </c>
      <c r="G32" s="1343"/>
      <c r="P32" s="164" t="s">
        <v>1128</v>
      </c>
      <c r="Q32" s="744">
        <v>0</v>
      </c>
      <c r="R32" s="179">
        <v>100</v>
      </c>
      <c r="S32" s="744">
        <v>0</v>
      </c>
      <c r="T32" s="698">
        <v>0</v>
      </c>
    </row>
    <row r="33" spans="2:20" ht="15.75" x14ac:dyDescent="0.25">
      <c r="B33" s="164" t="s">
        <v>805</v>
      </c>
      <c r="C33" s="744">
        <v>0</v>
      </c>
      <c r="D33" s="179">
        <v>0</v>
      </c>
      <c r="E33" s="744">
        <v>0</v>
      </c>
      <c r="F33" s="698">
        <v>0</v>
      </c>
      <c r="P33" s="164" t="s">
        <v>805</v>
      </c>
      <c r="Q33" s="744">
        <v>0</v>
      </c>
      <c r="R33" s="179">
        <v>0</v>
      </c>
      <c r="S33" s="744">
        <v>0</v>
      </c>
      <c r="T33" s="698">
        <v>0</v>
      </c>
    </row>
    <row r="34" spans="2:20" ht="15.75" x14ac:dyDescent="0.25">
      <c r="B34" s="888" t="s">
        <v>1054</v>
      </c>
      <c r="C34" s="889">
        <v>0.36</v>
      </c>
      <c r="D34" s="890">
        <v>60</v>
      </c>
      <c r="E34" s="889">
        <v>0.15</v>
      </c>
      <c r="F34" s="891">
        <v>0.47</v>
      </c>
      <c r="G34" s="1343" t="s">
        <v>1202</v>
      </c>
      <c r="P34" s="164" t="s">
        <v>1054</v>
      </c>
      <c r="Q34" s="744">
        <v>0.36</v>
      </c>
      <c r="R34" s="179">
        <v>60</v>
      </c>
      <c r="S34" s="744">
        <v>0.15</v>
      </c>
      <c r="T34" s="698">
        <v>0.47</v>
      </c>
    </row>
    <row r="35" spans="2:20" ht="15.75" x14ac:dyDescent="0.25">
      <c r="B35" s="888" t="s">
        <v>1047</v>
      </c>
      <c r="C35" s="889">
        <v>0.47</v>
      </c>
      <c r="D35" s="890">
        <v>70</v>
      </c>
      <c r="E35" s="889">
        <v>0.17</v>
      </c>
      <c r="F35" s="891">
        <v>0.31</v>
      </c>
      <c r="G35" s="1343"/>
      <c r="P35" s="164" t="s">
        <v>1047</v>
      </c>
      <c r="Q35" s="744">
        <v>0.47</v>
      </c>
      <c r="R35" s="179">
        <v>70</v>
      </c>
      <c r="S35" s="744">
        <v>0.17</v>
      </c>
      <c r="T35" s="698">
        <v>0.31</v>
      </c>
    </row>
    <row r="36" spans="2:20" ht="15.75" x14ac:dyDescent="0.25">
      <c r="B36" s="888" t="s">
        <v>1045</v>
      </c>
      <c r="C36" s="889">
        <v>0.61</v>
      </c>
      <c r="D36" s="890">
        <v>25</v>
      </c>
      <c r="E36" s="889">
        <v>0.33</v>
      </c>
      <c r="F36" s="891">
        <v>1</v>
      </c>
      <c r="G36" s="1343"/>
      <c r="P36" s="164" t="s">
        <v>1045</v>
      </c>
      <c r="Q36" s="744">
        <v>0.61</v>
      </c>
      <c r="R36" s="179">
        <v>25</v>
      </c>
      <c r="S36" s="744">
        <v>0.33</v>
      </c>
      <c r="T36" s="698">
        <v>1</v>
      </c>
    </row>
    <row r="37" spans="2:20" ht="15.75" x14ac:dyDescent="0.25">
      <c r="B37" s="888" t="s">
        <v>1046</v>
      </c>
      <c r="C37" s="889">
        <v>0.26</v>
      </c>
      <c r="D37" s="890">
        <v>90</v>
      </c>
      <c r="E37" s="889">
        <v>0.02</v>
      </c>
      <c r="F37" s="891">
        <v>0.79</v>
      </c>
      <c r="G37" s="1343"/>
      <c r="P37" s="164" t="s">
        <v>1046</v>
      </c>
      <c r="Q37" s="744">
        <v>0.26</v>
      </c>
      <c r="R37" s="179">
        <v>90</v>
      </c>
      <c r="S37" s="744">
        <v>0.02</v>
      </c>
      <c r="T37" s="698">
        <v>0.79</v>
      </c>
    </row>
    <row r="38" spans="2:20" ht="15.75" x14ac:dyDescent="0.25">
      <c r="B38" s="888" t="s">
        <v>1048</v>
      </c>
      <c r="C38" s="889">
        <v>0.76</v>
      </c>
      <c r="D38" s="890">
        <v>30</v>
      </c>
      <c r="E38" s="889">
        <v>0.66</v>
      </c>
      <c r="F38" s="891">
        <v>0.65</v>
      </c>
      <c r="G38" s="1343"/>
      <c r="P38" s="164" t="s">
        <v>1048</v>
      </c>
      <c r="Q38" s="744">
        <v>0.76</v>
      </c>
      <c r="R38" s="179">
        <v>30</v>
      </c>
      <c r="S38" s="744">
        <v>0.66</v>
      </c>
      <c r="T38" s="698">
        <v>0.65</v>
      </c>
    </row>
    <row r="39" spans="2:20" ht="15.75" x14ac:dyDescent="0.25">
      <c r="B39" s="888" t="s">
        <v>1049</v>
      </c>
      <c r="C39" s="889">
        <v>0.45</v>
      </c>
      <c r="D39" s="890">
        <v>25</v>
      </c>
      <c r="E39" s="889">
        <v>0.3</v>
      </c>
      <c r="F39" s="891">
        <v>0.72</v>
      </c>
      <c r="G39" s="1343"/>
      <c r="P39" s="164" t="s">
        <v>1049</v>
      </c>
      <c r="Q39" s="744">
        <v>0.45</v>
      </c>
      <c r="R39" s="179">
        <v>25</v>
      </c>
      <c r="S39" s="744">
        <v>0.3</v>
      </c>
      <c r="T39" s="698">
        <v>0.72</v>
      </c>
    </row>
    <row r="40" spans="2:20" ht="15.75" x14ac:dyDescent="0.25">
      <c r="B40" s="888" t="s">
        <v>1068</v>
      </c>
      <c r="C40" s="889">
        <v>0.83</v>
      </c>
      <c r="D40" s="890">
        <v>25</v>
      </c>
      <c r="E40" s="889">
        <v>0.43</v>
      </c>
      <c r="F40" s="891">
        <v>1.34</v>
      </c>
      <c r="G40" s="1343"/>
      <c r="P40" s="164" t="s">
        <v>1068</v>
      </c>
      <c r="Q40" s="744">
        <v>0.83</v>
      </c>
      <c r="R40" s="179">
        <v>25</v>
      </c>
      <c r="S40" s="744">
        <v>0.43</v>
      </c>
      <c r="T40" s="698">
        <v>1.34</v>
      </c>
    </row>
    <row r="41" spans="2:20" ht="15.75" x14ac:dyDescent="0.25">
      <c r="B41" s="888" t="s">
        <v>1053</v>
      </c>
      <c r="C41" s="889">
        <v>2</v>
      </c>
      <c r="D41" s="890">
        <v>30</v>
      </c>
      <c r="E41" s="889">
        <v>1.62</v>
      </c>
      <c r="F41" s="891">
        <v>1.8</v>
      </c>
      <c r="G41" s="1343"/>
      <c r="P41" s="164" t="s">
        <v>1053</v>
      </c>
      <c r="Q41" s="744">
        <v>2</v>
      </c>
      <c r="R41" s="179">
        <v>30</v>
      </c>
      <c r="S41" s="744">
        <v>1.62</v>
      </c>
      <c r="T41" s="698">
        <v>1.8</v>
      </c>
    </row>
    <row r="42" spans="2:20" ht="15.75" x14ac:dyDescent="0.25">
      <c r="B42" s="888" t="s">
        <v>1050</v>
      </c>
      <c r="C42" s="889">
        <v>2</v>
      </c>
      <c r="D42" s="890">
        <v>60</v>
      </c>
      <c r="E42" s="889">
        <v>1.65</v>
      </c>
      <c r="F42" s="891">
        <v>1.4</v>
      </c>
      <c r="G42" s="1343"/>
      <c r="P42" s="164" t="s">
        <v>1050</v>
      </c>
      <c r="Q42" s="744">
        <v>2</v>
      </c>
      <c r="R42" s="179">
        <v>60</v>
      </c>
      <c r="S42" s="744">
        <v>1.65</v>
      </c>
      <c r="T42" s="698">
        <v>1.4</v>
      </c>
    </row>
    <row r="43" spans="2:20" ht="15.75" x14ac:dyDescent="0.25">
      <c r="B43" s="888" t="s">
        <v>1052</v>
      </c>
      <c r="C43" s="889">
        <v>2.6</v>
      </c>
      <c r="D43" s="890">
        <v>60</v>
      </c>
      <c r="E43" s="889">
        <v>2.1</v>
      </c>
      <c r="F43" s="891">
        <v>1.8</v>
      </c>
      <c r="G43" s="1343"/>
      <c r="P43" s="164" t="s">
        <v>1052</v>
      </c>
      <c r="Q43" s="744">
        <v>2.6</v>
      </c>
      <c r="R43" s="179">
        <v>60</v>
      </c>
      <c r="S43" s="744">
        <v>2.1</v>
      </c>
      <c r="T43" s="698">
        <v>1.8</v>
      </c>
    </row>
    <row r="44" spans="2:20" ht="15.75" x14ac:dyDescent="0.25">
      <c r="B44" s="888" t="s">
        <v>1051</v>
      </c>
      <c r="C44" s="889">
        <v>3</v>
      </c>
      <c r="D44" s="890">
        <v>60</v>
      </c>
      <c r="E44" s="889">
        <v>2.5</v>
      </c>
      <c r="F44" s="894">
        <v>2.2000000000000002</v>
      </c>
      <c r="G44" s="1343"/>
      <c r="P44" s="164" t="s">
        <v>1051</v>
      </c>
      <c r="Q44" s="744">
        <v>3</v>
      </c>
      <c r="R44" s="179">
        <v>60</v>
      </c>
      <c r="S44" s="744">
        <v>2.5</v>
      </c>
      <c r="T44" s="767">
        <v>2.2000000000000002</v>
      </c>
    </row>
    <row r="45" spans="2:20" ht="15.75" x14ac:dyDescent="0.25">
      <c r="B45" s="888" t="s">
        <v>1059</v>
      </c>
      <c r="C45" s="889">
        <v>12.8</v>
      </c>
      <c r="D45" s="890">
        <v>70</v>
      </c>
      <c r="E45" s="889">
        <v>1.1000000000000001</v>
      </c>
      <c r="F45" s="891">
        <v>0.31</v>
      </c>
      <c r="G45" s="1343"/>
      <c r="P45" s="164" t="s">
        <v>1059</v>
      </c>
      <c r="Q45" s="744">
        <v>12.8</v>
      </c>
      <c r="R45" s="179">
        <v>70</v>
      </c>
      <c r="S45" s="744">
        <v>1.1000000000000001</v>
      </c>
      <c r="T45" s="698">
        <v>0.31</v>
      </c>
    </row>
    <row r="46" spans="2:20" ht="15.75" customHeight="1" x14ac:dyDescent="0.25">
      <c r="B46" s="888" t="s">
        <v>1060</v>
      </c>
      <c r="C46" s="889">
        <v>13</v>
      </c>
      <c r="D46" s="890">
        <v>70</v>
      </c>
      <c r="E46" s="889">
        <v>0.77</v>
      </c>
      <c r="F46" s="894">
        <v>0.3</v>
      </c>
      <c r="G46" s="1343"/>
      <c r="P46" s="164" t="s">
        <v>1060</v>
      </c>
      <c r="Q46" s="744">
        <v>13</v>
      </c>
      <c r="R46" s="179">
        <v>70</v>
      </c>
      <c r="S46" s="744">
        <v>0.77</v>
      </c>
      <c r="T46" s="767">
        <v>0.3</v>
      </c>
    </row>
    <row r="47" spans="2:20" ht="15.75" x14ac:dyDescent="0.25">
      <c r="B47" s="888" t="s">
        <v>1061</v>
      </c>
      <c r="C47" s="889">
        <v>9.1999999999999993</v>
      </c>
      <c r="D47" s="890">
        <v>70</v>
      </c>
      <c r="E47" s="889">
        <v>7.5</v>
      </c>
      <c r="F47" s="894">
        <v>0.7</v>
      </c>
      <c r="G47" s="1343"/>
      <c r="P47" s="164" t="s">
        <v>1061</v>
      </c>
      <c r="Q47" s="744">
        <v>9.1999999999999993</v>
      </c>
      <c r="R47" s="179">
        <v>70</v>
      </c>
      <c r="S47" s="744">
        <v>7.5</v>
      </c>
      <c r="T47" s="767">
        <v>0.7</v>
      </c>
    </row>
    <row r="48" spans="2:20" ht="15.75" x14ac:dyDescent="0.25">
      <c r="B48" s="888" t="s">
        <v>1062</v>
      </c>
      <c r="C48" s="889">
        <v>0.25</v>
      </c>
      <c r="D48" s="890">
        <v>30</v>
      </c>
      <c r="E48" s="889">
        <v>7.0000000000000007E-2</v>
      </c>
      <c r="F48" s="894">
        <v>0.48</v>
      </c>
      <c r="G48" s="1343"/>
      <c r="P48" s="164" t="s">
        <v>1062</v>
      </c>
      <c r="Q48" s="744">
        <v>0.25</v>
      </c>
      <c r="R48" s="179">
        <v>30</v>
      </c>
      <c r="S48" s="744">
        <v>7.0000000000000007E-2</v>
      </c>
      <c r="T48" s="767">
        <v>0.48</v>
      </c>
    </row>
    <row r="49" spans="2:20" ht="15.75" x14ac:dyDescent="0.25">
      <c r="B49" s="888" t="s">
        <v>1063</v>
      </c>
      <c r="C49" s="889">
        <v>4.2</v>
      </c>
      <c r="D49" s="890">
        <v>40</v>
      </c>
      <c r="E49" s="889">
        <v>1.4</v>
      </c>
      <c r="F49" s="894">
        <v>1.5</v>
      </c>
      <c r="G49" s="1343"/>
      <c r="P49" s="164" t="s">
        <v>1063</v>
      </c>
      <c r="Q49" s="744">
        <v>4.2</v>
      </c>
      <c r="R49" s="179">
        <v>40</v>
      </c>
      <c r="S49" s="744">
        <v>1.4</v>
      </c>
      <c r="T49" s="767">
        <v>1.5</v>
      </c>
    </row>
    <row r="50" spans="2:20" ht="15.75" x14ac:dyDescent="0.25">
      <c r="B50" s="888" t="s">
        <v>1031</v>
      </c>
      <c r="C50" s="889">
        <v>5.43</v>
      </c>
      <c r="D50" s="890">
        <v>40</v>
      </c>
      <c r="E50" s="889">
        <v>2.4500000000000002</v>
      </c>
      <c r="F50" s="894">
        <v>1.37</v>
      </c>
      <c r="G50" s="1343"/>
      <c r="P50" s="164" t="s">
        <v>1031</v>
      </c>
      <c r="Q50" s="744">
        <v>5.43</v>
      </c>
      <c r="R50" s="179">
        <v>40</v>
      </c>
      <c r="S50" s="744">
        <v>2.4500000000000002</v>
      </c>
      <c r="T50" s="767">
        <v>1.37</v>
      </c>
    </row>
    <row r="51" spans="2:20" ht="15.75" x14ac:dyDescent="0.25">
      <c r="B51" s="888" t="s">
        <v>1064</v>
      </c>
      <c r="C51" s="889">
        <v>3.8</v>
      </c>
      <c r="D51" s="890">
        <v>70</v>
      </c>
      <c r="E51" s="889">
        <v>0.21</v>
      </c>
      <c r="F51" s="894">
        <v>5.8</v>
      </c>
      <c r="G51" s="1343"/>
      <c r="P51" s="164" t="s">
        <v>1064</v>
      </c>
      <c r="Q51" s="744">
        <v>3.8</v>
      </c>
      <c r="R51" s="179">
        <v>70</v>
      </c>
      <c r="S51" s="744">
        <v>0.21</v>
      </c>
      <c r="T51" s="767">
        <v>5.8</v>
      </c>
    </row>
    <row r="52" spans="2:20" ht="15.75" x14ac:dyDescent="0.25">
      <c r="B52" s="888" t="s">
        <v>1065</v>
      </c>
      <c r="C52" s="889">
        <v>0.91</v>
      </c>
      <c r="D52" s="890">
        <v>5</v>
      </c>
      <c r="E52" s="889">
        <v>0.48</v>
      </c>
      <c r="F52" s="894">
        <v>0.79</v>
      </c>
      <c r="G52" s="1343"/>
      <c r="P52" s="164" t="s">
        <v>1065</v>
      </c>
      <c r="Q52" s="744">
        <v>0.91</v>
      </c>
      <c r="R52" s="179">
        <v>5</v>
      </c>
      <c r="S52" s="744">
        <v>0.48</v>
      </c>
      <c r="T52" s="767">
        <v>0.79</v>
      </c>
    </row>
    <row r="53" spans="2:20" ht="15.75" x14ac:dyDescent="0.25">
      <c r="B53" s="888" t="s">
        <v>1066</v>
      </c>
      <c r="C53" s="889">
        <v>0.68</v>
      </c>
      <c r="D53" s="890">
        <v>3</v>
      </c>
      <c r="E53" s="889">
        <v>0.3</v>
      </c>
      <c r="F53" s="894">
        <v>0.51</v>
      </c>
      <c r="G53" s="1343"/>
      <c r="P53" s="164" t="s">
        <v>1066</v>
      </c>
      <c r="Q53" s="744">
        <v>0.68</v>
      </c>
      <c r="R53" s="179">
        <v>3</v>
      </c>
      <c r="S53" s="744">
        <v>0.3</v>
      </c>
      <c r="T53" s="767">
        <v>0.51</v>
      </c>
    </row>
    <row r="54" spans="2:20" ht="15.75" x14ac:dyDescent="0.25">
      <c r="B54" s="888" t="s">
        <v>1067</v>
      </c>
      <c r="C54" s="889">
        <v>0.86</v>
      </c>
      <c r="D54" s="890">
        <v>10</v>
      </c>
      <c r="E54" s="889">
        <v>0.4</v>
      </c>
      <c r="F54" s="894">
        <v>0.6</v>
      </c>
      <c r="G54" s="1343"/>
      <c r="P54" s="164" t="s">
        <v>1067</v>
      </c>
      <c r="Q54" s="744">
        <v>0.86</v>
      </c>
      <c r="R54" s="179">
        <v>10</v>
      </c>
      <c r="S54" s="744">
        <v>0.4</v>
      </c>
      <c r="T54" s="767">
        <v>0.6</v>
      </c>
    </row>
    <row r="55" spans="2:20" ht="15.75" x14ac:dyDescent="0.25">
      <c r="B55" s="888" t="s">
        <v>1055</v>
      </c>
      <c r="C55" s="889">
        <v>0.74</v>
      </c>
      <c r="D55" s="890">
        <v>10</v>
      </c>
      <c r="E55" s="889">
        <v>0.23</v>
      </c>
      <c r="F55" s="894">
        <v>0.78</v>
      </c>
      <c r="G55" s="1343"/>
      <c r="P55" s="164" t="s">
        <v>1055</v>
      </c>
      <c r="Q55" s="744">
        <v>0.74</v>
      </c>
      <c r="R55" s="179">
        <v>10</v>
      </c>
      <c r="S55" s="744">
        <v>0.23</v>
      </c>
      <c r="T55" s="767">
        <v>0.78</v>
      </c>
    </row>
    <row r="56" spans="2:20" ht="15.75" x14ac:dyDescent="0.25">
      <c r="B56" s="888" t="s">
        <v>1056</v>
      </c>
      <c r="C56" s="889">
        <v>1.2</v>
      </c>
      <c r="D56" s="890">
        <v>10</v>
      </c>
      <c r="E56" s="889">
        <v>0.5</v>
      </c>
      <c r="F56" s="894">
        <v>1.7</v>
      </c>
      <c r="G56" s="1343"/>
      <c r="P56" s="164" t="s">
        <v>1056</v>
      </c>
      <c r="Q56" s="744">
        <v>1.2</v>
      </c>
      <c r="R56" s="179">
        <v>10</v>
      </c>
      <c r="S56" s="744">
        <v>0.5</v>
      </c>
      <c r="T56" s="767">
        <v>1.7</v>
      </c>
    </row>
    <row r="57" spans="2:20" ht="15.75" x14ac:dyDescent="0.25">
      <c r="B57" s="888" t="s">
        <v>1032</v>
      </c>
      <c r="C57" s="889">
        <v>0.5</v>
      </c>
      <c r="D57" s="890">
        <v>80</v>
      </c>
      <c r="E57" s="889">
        <v>0.03</v>
      </c>
      <c r="F57" s="894">
        <v>0.3</v>
      </c>
      <c r="G57" s="1343"/>
      <c r="P57" s="164" t="s">
        <v>1032</v>
      </c>
      <c r="Q57" s="744">
        <v>0.5</v>
      </c>
      <c r="R57" s="179">
        <v>80</v>
      </c>
      <c r="S57" s="744">
        <v>0.03</v>
      </c>
      <c r="T57" s="767">
        <v>0.3</v>
      </c>
    </row>
    <row r="58" spans="2:20" ht="15.75" x14ac:dyDescent="0.25">
      <c r="B58" s="888" t="s">
        <v>1057</v>
      </c>
      <c r="C58" s="889">
        <v>0.8</v>
      </c>
      <c r="D58" s="890">
        <v>80</v>
      </c>
      <c r="E58" s="889">
        <v>0.3</v>
      </c>
      <c r="F58" s="894">
        <v>1.2</v>
      </c>
      <c r="G58" s="1343"/>
      <c r="P58" s="164" t="s">
        <v>1057</v>
      </c>
      <c r="Q58" s="744">
        <v>0.8</v>
      </c>
      <c r="R58" s="179">
        <v>80</v>
      </c>
      <c r="S58" s="744">
        <v>0.3</v>
      </c>
      <c r="T58" s="767">
        <v>1.2</v>
      </c>
    </row>
    <row r="59" spans="2:20" ht="15.75" customHeight="1" x14ac:dyDescent="0.25">
      <c r="B59" s="888" t="s">
        <v>1058</v>
      </c>
      <c r="C59" s="889">
        <v>1.6</v>
      </c>
      <c r="D59" s="890">
        <v>80</v>
      </c>
      <c r="E59" s="889">
        <v>0.6</v>
      </c>
      <c r="F59" s="894">
        <v>2.4</v>
      </c>
      <c r="G59" s="1343"/>
      <c r="P59" s="164" t="s">
        <v>1058</v>
      </c>
      <c r="Q59" s="744">
        <v>1.6</v>
      </c>
      <c r="R59" s="179">
        <v>80</v>
      </c>
      <c r="S59" s="744">
        <v>0.6</v>
      </c>
      <c r="T59" s="767">
        <v>2.4</v>
      </c>
    </row>
    <row r="60" spans="2:20" ht="15.75" x14ac:dyDescent="0.25">
      <c r="B60" s="895" t="s">
        <v>837</v>
      </c>
      <c r="C60" s="889">
        <v>0</v>
      </c>
      <c r="D60" s="890"/>
      <c r="E60" s="889">
        <v>0</v>
      </c>
      <c r="F60" s="894">
        <v>0</v>
      </c>
      <c r="G60" s="1343"/>
      <c r="P60" s="768" t="s">
        <v>837</v>
      </c>
      <c r="Q60" s="744">
        <v>0</v>
      </c>
      <c r="R60" s="179"/>
      <c r="S60" s="744">
        <v>0</v>
      </c>
      <c r="T60" s="767">
        <v>0</v>
      </c>
    </row>
    <row r="61" spans="2:20" ht="15.75" x14ac:dyDescent="0.25">
      <c r="B61" s="895" t="s">
        <v>838</v>
      </c>
      <c r="C61" s="889">
        <v>0</v>
      </c>
      <c r="D61" s="890"/>
      <c r="E61" s="889">
        <v>0</v>
      </c>
      <c r="F61" s="894">
        <v>0</v>
      </c>
      <c r="G61" s="1343"/>
      <c r="P61" s="768" t="s">
        <v>838</v>
      </c>
      <c r="Q61" s="744">
        <v>0</v>
      </c>
      <c r="R61" s="179"/>
      <c r="S61" s="744">
        <v>0</v>
      </c>
      <c r="T61" s="767">
        <v>0</v>
      </c>
    </row>
    <row r="62" spans="2:20" ht="15.75" x14ac:dyDescent="0.25">
      <c r="B62" s="895" t="s">
        <v>839</v>
      </c>
      <c r="C62" s="889">
        <v>0</v>
      </c>
      <c r="D62" s="890"/>
      <c r="E62" s="889">
        <v>0</v>
      </c>
      <c r="F62" s="894">
        <v>0</v>
      </c>
      <c r="G62" s="1343"/>
      <c r="P62" s="768" t="s">
        <v>839</v>
      </c>
      <c r="Q62" s="744">
        <v>0</v>
      </c>
      <c r="R62" s="179"/>
      <c r="S62" s="744">
        <v>0</v>
      </c>
      <c r="T62" s="767">
        <v>0</v>
      </c>
    </row>
    <row r="63" spans="2:20" ht="15.75" x14ac:dyDescent="0.25">
      <c r="B63" s="895" t="s">
        <v>1123</v>
      </c>
      <c r="C63" s="889">
        <v>0</v>
      </c>
      <c r="D63" s="890"/>
      <c r="E63" s="889">
        <v>0</v>
      </c>
      <c r="F63" s="894">
        <v>0</v>
      </c>
      <c r="G63" s="1343"/>
      <c r="P63" s="768" t="s">
        <v>1123</v>
      </c>
      <c r="Q63" s="744">
        <v>0</v>
      </c>
      <c r="R63" s="179"/>
      <c r="S63" s="744">
        <v>0</v>
      </c>
      <c r="T63" s="767">
        <v>0</v>
      </c>
    </row>
    <row r="64" spans="2:20" ht="15.75" x14ac:dyDescent="0.25">
      <c r="B64" s="895" t="s">
        <v>1230</v>
      </c>
      <c r="C64" s="889">
        <v>0.6</v>
      </c>
      <c r="D64" s="890">
        <v>60</v>
      </c>
      <c r="E64" s="889">
        <v>0.2</v>
      </c>
      <c r="F64" s="894">
        <v>0.4</v>
      </c>
      <c r="G64" s="1343"/>
      <c r="P64" s="768" t="s">
        <v>1124</v>
      </c>
      <c r="Q64" s="744">
        <v>0</v>
      </c>
      <c r="R64" s="179"/>
      <c r="S64" s="744">
        <v>0</v>
      </c>
      <c r="T64" s="767">
        <v>0</v>
      </c>
    </row>
    <row r="65" spans="1:6" x14ac:dyDescent="0.25">
      <c r="F65" s="391"/>
    </row>
    <row r="68" spans="1:6" ht="15.75" x14ac:dyDescent="0.25">
      <c r="D68" s="701" t="s">
        <v>1233</v>
      </c>
    </row>
    <row r="69" spans="1:6" ht="15.75" x14ac:dyDescent="0.25">
      <c r="A69" s="80"/>
      <c r="B69" s="80"/>
      <c r="C69" s="120" t="s">
        <v>183</v>
      </c>
      <c r="D69" s="358" t="s">
        <v>1117</v>
      </c>
      <c r="E69" s="121"/>
      <c r="F69" s="80"/>
    </row>
    <row r="70" spans="1:6" ht="15.75" x14ac:dyDescent="0.25">
      <c r="A70" s="80"/>
      <c r="B70" s="80"/>
      <c r="C70" s="120" t="s">
        <v>179</v>
      </c>
      <c r="D70" s="224">
        <v>90</v>
      </c>
      <c r="E70" s="60"/>
      <c r="F70" s="80"/>
    </row>
    <row r="71" spans="1:6" ht="15.75" x14ac:dyDescent="0.25">
      <c r="A71" s="80"/>
      <c r="B71" s="80"/>
      <c r="C71" s="120" t="s">
        <v>814</v>
      </c>
      <c r="D71" s="224">
        <v>70</v>
      </c>
      <c r="E71" s="60"/>
      <c r="F71" s="80"/>
    </row>
    <row r="72" spans="1:6" ht="15.75" x14ac:dyDescent="0.25">
      <c r="A72" s="80"/>
      <c r="B72" s="80"/>
      <c r="C72" s="120" t="s">
        <v>815</v>
      </c>
      <c r="D72" s="224">
        <v>70</v>
      </c>
      <c r="E72" s="60"/>
      <c r="F72" s="80"/>
    </row>
    <row r="73" spans="1:6" ht="16.5" customHeight="1" x14ac:dyDescent="0.25">
      <c r="A73" s="80"/>
      <c r="B73" s="80"/>
      <c r="C73" s="120" t="s">
        <v>819</v>
      </c>
      <c r="D73" s="701">
        <v>70</v>
      </c>
      <c r="E73" s="358" t="s">
        <v>1231</v>
      </c>
      <c r="F73" s="80"/>
    </row>
    <row r="74" spans="1:6" ht="15.75" x14ac:dyDescent="0.25">
      <c r="A74" s="80"/>
      <c r="B74" s="124"/>
      <c r="C74" s="120" t="s">
        <v>820</v>
      </c>
      <c r="D74" s="701">
        <v>60</v>
      </c>
      <c r="E74" s="358" t="s">
        <v>1232</v>
      </c>
      <c r="F74" s="80"/>
    </row>
    <row r="75" spans="1:6" ht="15.75" x14ac:dyDescent="0.25">
      <c r="A75" s="80"/>
      <c r="B75" s="124"/>
      <c r="C75" s="120" t="s">
        <v>48</v>
      </c>
      <c r="D75" s="701">
        <v>60</v>
      </c>
      <c r="E75" s="519"/>
      <c r="F75" s="80"/>
    </row>
    <row r="76" spans="1:6" ht="15.75" x14ac:dyDescent="0.25">
      <c r="A76" s="80"/>
      <c r="B76" s="80"/>
      <c r="C76" s="120" t="s">
        <v>821</v>
      </c>
      <c r="D76" s="224">
        <v>45</v>
      </c>
      <c r="E76" s="60"/>
      <c r="F76" s="80"/>
    </row>
    <row r="77" spans="1:6" ht="15.75" x14ac:dyDescent="0.25">
      <c r="A77" s="80"/>
      <c r="B77" s="80"/>
      <c r="C77" s="120" t="s">
        <v>816</v>
      </c>
      <c r="D77" s="701">
        <v>30</v>
      </c>
      <c r="E77" s="519"/>
      <c r="F77" s="80"/>
    </row>
    <row r="78" spans="1:6" ht="15.75" x14ac:dyDescent="0.25">
      <c r="A78" s="80"/>
      <c r="B78" s="80"/>
      <c r="C78" s="120" t="s">
        <v>822</v>
      </c>
      <c r="D78" s="701">
        <v>30</v>
      </c>
      <c r="E78" s="519"/>
      <c r="F78" s="80"/>
    </row>
    <row r="79" spans="1:6" ht="15.75" x14ac:dyDescent="0.25">
      <c r="A79" s="80"/>
      <c r="B79" s="80"/>
      <c r="C79" s="120" t="s">
        <v>187</v>
      </c>
      <c r="D79" s="701">
        <v>30</v>
      </c>
      <c r="E79" s="519"/>
      <c r="F79" s="80"/>
    </row>
    <row r="80" spans="1:6" ht="15.75" x14ac:dyDescent="0.25">
      <c r="A80" s="80"/>
      <c r="B80" s="80"/>
      <c r="C80" s="120" t="s">
        <v>823</v>
      </c>
      <c r="D80" s="701">
        <v>30</v>
      </c>
      <c r="E80" s="519"/>
      <c r="F80" s="80"/>
    </row>
    <row r="81" spans="1:6" ht="15.75" x14ac:dyDescent="0.25">
      <c r="A81" s="80"/>
      <c r="B81" s="80"/>
      <c r="C81" s="120" t="s">
        <v>824</v>
      </c>
      <c r="D81" s="701">
        <v>30</v>
      </c>
      <c r="E81" s="519"/>
      <c r="F81" s="80"/>
    </row>
    <row r="82" spans="1:6" ht="15.75" x14ac:dyDescent="0.25">
      <c r="A82" s="80"/>
      <c r="B82" s="80"/>
      <c r="C82" s="120" t="s">
        <v>825</v>
      </c>
      <c r="D82" s="701">
        <v>30</v>
      </c>
      <c r="E82" s="519"/>
      <c r="F82" s="80"/>
    </row>
    <row r="83" spans="1:6" ht="15.75" x14ac:dyDescent="0.25">
      <c r="A83" s="80"/>
      <c r="B83" s="80"/>
      <c r="C83" s="120" t="s">
        <v>180</v>
      </c>
      <c r="D83" s="701">
        <v>25</v>
      </c>
      <c r="E83" s="519"/>
      <c r="F83" s="80"/>
    </row>
    <row r="84" spans="1:6" ht="15.75" x14ac:dyDescent="0.25">
      <c r="A84" s="80"/>
      <c r="B84" s="80"/>
      <c r="C84" s="120" t="s">
        <v>817</v>
      </c>
      <c r="D84" s="701">
        <v>25</v>
      </c>
      <c r="E84" s="519"/>
      <c r="F84" s="80"/>
    </row>
    <row r="85" spans="1:6" ht="15.75" x14ac:dyDescent="0.25">
      <c r="A85" s="80"/>
      <c r="B85" s="80"/>
      <c r="C85" s="120" t="s">
        <v>818</v>
      </c>
      <c r="D85" s="701">
        <v>25</v>
      </c>
      <c r="E85" s="519"/>
      <c r="F85" s="80"/>
    </row>
    <row r="86" spans="1:6" ht="15.75" x14ac:dyDescent="0.25">
      <c r="A86" s="80"/>
      <c r="B86" s="80"/>
      <c r="C86" s="120" t="s">
        <v>826</v>
      </c>
      <c r="D86" s="701">
        <v>10</v>
      </c>
      <c r="E86" s="519"/>
      <c r="F86" s="80"/>
    </row>
    <row r="87" spans="1:6" ht="15.75" x14ac:dyDescent="0.25">
      <c r="A87" s="80"/>
      <c r="B87" s="80"/>
      <c r="C87" s="120" t="s">
        <v>181</v>
      </c>
      <c r="D87" s="701">
        <v>10</v>
      </c>
      <c r="E87" s="519"/>
      <c r="F87" s="80"/>
    </row>
    <row r="88" spans="1:6" ht="15.75" x14ac:dyDescent="0.25">
      <c r="A88" s="80"/>
      <c r="B88" s="80"/>
      <c r="C88" s="120" t="s">
        <v>188</v>
      </c>
      <c r="D88" s="701">
        <v>5</v>
      </c>
      <c r="E88" s="519"/>
      <c r="F88" s="80"/>
    </row>
    <row r="89" spans="1:6" ht="15.75" x14ac:dyDescent="0.25">
      <c r="A89" s="80"/>
      <c r="B89" s="80"/>
      <c r="C89" s="120" t="s">
        <v>182</v>
      </c>
      <c r="D89" s="701">
        <v>3</v>
      </c>
      <c r="E89" s="519"/>
      <c r="F89" s="80"/>
    </row>
  </sheetData>
  <sheetProtection sheet="1" objects="1" scenarios="1" selectLockedCells="1"/>
  <mergeCells count="5">
    <mergeCell ref="C4:F4"/>
    <mergeCell ref="Q4:T4"/>
    <mergeCell ref="C2:F2"/>
    <mergeCell ref="G7:G32"/>
    <mergeCell ref="G34:G64"/>
  </mergeCells>
  <phoneticPr fontId="92" type="noConversion"/>
  <pageMargins left="0.51181102362204722" right="0.31496062992125984" top="0.39370078740157483" bottom="0.39370078740157483" header="0.31496062992125984" footer="0.31496062992125984"/>
  <pageSetup paperSize="9" scale="74" orientation="portrait" r:id="rId1"/>
  <rowBreaks count="1" manualBreakCount="1">
    <brk id="65" max="6" man="1"/>
  </rowBreaks>
  <colBreaks count="1" manualBreakCount="1">
    <brk id="7"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8">
    <tabColor theme="2" tint="-0.499984740745262"/>
  </sheetPr>
  <dimension ref="A1:S51"/>
  <sheetViews>
    <sheetView zoomScale="90" zoomScaleNormal="90" workbookViewId="0">
      <selection activeCell="H22" sqref="H22"/>
    </sheetView>
  </sheetViews>
  <sheetFormatPr baseColWidth="10" defaultRowHeight="15" x14ac:dyDescent="0.25"/>
  <cols>
    <col min="1" max="1" width="4.5703125" style="680" customWidth="1"/>
    <col min="2" max="2" width="48.85546875" style="15" customWidth="1"/>
    <col min="3" max="3" width="31.5703125" style="15" customWidth="1"/>
    <col min="4" max="4" width="17.85546875" style="15" customWidth="1"/>
    <col min="5" max="5" width="10" style="15" customWidth="1"/>
    <col min="6" max="11" width="8.42578125" style="15" customWidth="1"/>
    <col min="12" max="12" width="13.85546875" style="15" customWidth="1"/>
    <col min="13" max="13" width="10.5703125" style="15" customWidth="1"/>
    <col min="14" max="14" width="10.5703125" style="679" customWidth="1"/>
    <col min="15" max="15" width="10.140625" style="679" customWidth="1"/>
    <col min="16" max="18" width="12.5703125" style="80" customWidth="1"/>
    <col min="19" max="19" width="12.7109375" style="15" customWidth="1"/>
    <col min="20" max="16384" width="11.42578125" style="15"/>
  </cols>
  <sheetData>
    <row r="1" spans="1:19" x14ac:dyDescent="0.25">
      <c r="B1" s="1491" t="s">
        <v>1121</v>
      </c>
      <c r="C1" s="1563"/>
      <c r="D1" s="1564"/>
    </row>
    <row r="2" spans="1:19" ht="19.5" customHeight="1" thickBot="1" x14ac:dyDescent="0.3">
      <c r="B2" s="1565"/>
      <c r="C2" s="1566"/>
      <c r="D2" s="1567"/>
      <c r="J2" s="1559" t="s">
        <v>1007</v>
      </c>
      <c r="K2" s="1559"/>
      <c r="L2" s="1559"/>
    </row>
    <row r="3" spans="1:19" ht="30" customHeight="1" x14ac:dyDescent="0.25">
      <c r="A3" s="1546"/>
      <c r="B3" s="1396" t="s">
        <v>1008</v>
      </c>
      <c r="C3" s="1396" t="s">
        <v>1009</v>
      </c>
      <c r="D3" s="1396"/>
      <c r="E3" s="1293"/>
      <c r="F3" s="1562" t="s">
        <v>1006</v>
      </c>
      <c r="G3" s="1460"/>
      <c r="H3" s="1461"/>
      <c r="J3" s="285" t="s">
        <v>1010</v>
      </c>
      <c r="K3" s="681" t="s">
        <v>1011</v>
      </c>
      <c r="L3" s="285" t="s">
        <v>1012</v>
      </c>
    </row>
    <row r="4" spans="1:19" ht="19.5" customHeight="1" x14ac:dyDescent="0.25">
      <c r="A4" s="1546"/>
      <c r="B4" s="1286"/>
      <c r="C4" s="1286"/>
      <c r="D4" s="1286"/>
      <c r="E4" s="1293"/>
      <c r="F4" s="1462"/>
      <c r="G4" s="1463"/>
      <c r="H4" s="1464"/>
      <c r="J4" s="1244">
        <v>120</v>
      </c>
      <c r="K4" s="1244">
        <v>12</v>
      </c>
      <c r="L4" s="682">
        <f>J4*K4/24</f>
        <v>60</v>
      </c>
    </row>
    <row r="5" spans="1:19" ht="19.5" customHeight="1" x14ac:dyDescent="0.25">
      <c r="A5" s="1546"/>
      <c r="B5" s="1286"/>
      <c r="C5" s="1286"/>
      <c r="D5" s="1286"/>
      <c r="E5" s="1293"/>
      <c r="F5" s="1462"/>
      <c r="G5" s="1463"/>
      <c r="H5" s="1464"/>
      <c r="J5" s="1244">
        <v>30</v>
      </c>
      <c r="K5" s="1244">
        <v>10</v>
      </c>
      <c r="L5" s="682">
        <f t="shared" ref="L5:L6" si="0">J5*K5/24</f>
        <v>12.5</v>
      </c>
    </row>
    <row r="6" spans="1:19" ht="19.5" customHeight="1" x14ac:dyDescent="0.25">
      <c r="A6" s="1546"/>
      <c r="B6" s="1286"/>
      <c r="C6" s="1286"/>
      <c r="D6" s="1286"/>
      <c r="E6" s="1293"/>
      <c r="F6" s="1462"/>
      <c r="G6" s="1463"/>
      <c r="H6" s="1464"/>
      <c r="J6" s="1244">
        <v>10</v>
      </c>
      <c r="K6" s="1244">
        <v>8</v>
      </c>
      <c r="L6" s="682">
        <f t="shared" si="0"/>
        <v>3.3333333333333335</v>
      </c>
    </row>
    <row r="7" spans="1:19" ht="21" customHeight="1" x14ac:dyDescent="0.25">
      <c r="A7" s="1546"/>
      <c r="B7" s="1286"/>
      <c r="C7" s="1286"/>
      <c r="D7" s="1286"/>
      <c r="E7" s="1293"/>
      <c r="F7" s="1462"/>
      <c r="G7" s="1463"/>
      <c r="H7" s="1464"/>
      <c r="J7" s="1560" t="s">
        <v>292</v>
      </c>
      <c r="K7" s="1561"/>
      <c r="L7" s="969">
        <f>L4+L5+L6</f>
        <v>75.833333333333329</v>
      </c>
      <c r="M7" s="15" t="s">
        <v>1013</v>
      </c>
    </row>
    <row r="8" spans="1:19" ht="31.5" customHeight="1" x14ac:dyDescent="0.25">
      <c r="A8" s="1546"/>
      <c r="B8" s="1286"/>
      <c r="C8" s="1286"/>
      <c r="D8" s="1286"/>
      <c r="E8" s="1293"/>
      <c r="F8" s="1465"/>
      <c r="G8" s="1466"/>
      <c r="H8" s="1467"/>
      <c r="I8" s="683"/>
    </row>
    <row r="9" spans="1:19" ht="61.5" customHeight="1" x14ac:dyDescent="0.25">
      <c r="B9" s="1556" t="s">
        <v>1014</v>
      </c>
      <c r="C9" s="1395" t="s">
        <v>1015</v>
      </c>
      <c r="D9" s="1395" t="s">
        <v>1016</v>
      </c>
      <c r="E9" s="1319" t="s">
        <v>1017</v>
      </c>
      <c r="F9" s="1471" t="s">
        <v>1018</v>
      </c>
      <c r="G9" s="1472"/>
      <c r="H9" s="1473"/>
      <c r="I9" s="1547" t="s">
        <v>1019</v>
      </c>
      <c r="J9" s="1548"/>
      <c r="K9" s="1549"/>
      <c r="L9" s="1550" t="s">
        <v>1223</v>
      </c>
      <c r="M9" s="1551"/>
      <c r="N9" s="1551"/>
      <c r="O9" s="1552"/>
      <c r="P9" s="1553" t="s">
        <v>1116</v>
      </c>
      <c r="Q9" s="1554"/>
      <c r="R9" s="1555"/>
      <c r="S9" s="1545" t="s">
        <v>1115</v>
      </c>
    </row>
    <row r="10" spans="1:19" ht="85.5" customHeight="1" x14ac:dyDescent="0.25">
      <c r="A10" s="680" t="s">
        <v>856</v>
      </c>
      <c r="B10" s="1557"/>
      <c r="C10" s="1318"/>
      <c r="D10" s="1318"/>
      <c r="E10" s="1286"/>
      <c r="F10" s="285" t="s">
        <v>733</v>
      </c>
      <c r="G10" s="285" t="s">
        <v>288</v>
      </c>
      <c r="H10" s="285" t="s">
        <v>289</v>
      </c>
      <c r="I10" s="285" t="s">
        <v>177</v>
      </c>
      <c r="J10" s="285" t="s">
        <v>1020</v>
      </c>
      <c r="K10" s="285" t="s">
        <v>1021</v>
      </c>
      <c r="L10" s="681" t="s">
        <v>1022</v>
      </c>
      <c r="M10" s="681" t="s">
        <v>1023</v>
      </c>
      <c r="N10" s="684" t="s">
        <v>1024</v>
      </c>
      <c r="O10" s="684" t="s">
        <v>1025</v>
      </c>
      <c r="P10" s="802" t="s">
        <v>177</v>
      </c>
      <c r="Q10" s="802" t="s">
        <v>1020</v>
      </c>
      <c r="R10" s="802" t="s">
        <v>1021</v>
      </c>
      <c r="S10" s="1545"/>
    </row>
    <row r="11" spans="1:19" x14ac:dyDescent="0.25">
      <c r="A11" s="680">
        <f>VLOOKUP(B11,'Daten Tierhaltung'!$B$7:$C$108,2,FALSE)</f>
        <v>9</v>
      </c>
      <c r="B11" s="685" t="s">
        <v>865</v>
      </c>
      <c r="C11" s="685" t="s">
        <v>1026</v>
      </c>
      <c r="D11" s="1243">
        <v>9500</v>
      </c>
      <c r="E11" s="1243">
        <v>200</v>
      </c>
      <c r="F11" s="686">
        <f>IF(OR(A11=57,A11=58,A11=59,A11=60,A11=61,A11=62,A11=63,A11=64,A11=65,A11=66,A11=67,A11=68,A11=71,A11=72,A11=73,A11=74,A11=75,A11=76,A11=77,A11=78,A11=79,A11=80,A11=81,A11=82,A11=83,A11=84,A11=85,A11=86,A11=87,A11=88,A11=89,A11=90,A11=91,A11=92,A11=96,A11=97,A11=98,A11=99),0,IF(365-G11-H11&lt;0,0,365-G11-H11))</f>
        <v>335</v>
      </c>
      <c r="G11" s="1243">
        <v>30</v>
      </c>
      <c r="H11" s="1243">
        <v>0</v>
      </c>
      <c r="I11" s="687">
        <f>IF(A11=6,IF(D11&lt;=8000,0.0075*D11+69,0.007*D11+73),IF(A11=7,IF(D11&lt;=8000,0.0075*D11+64,0.0085*D11+56),IF(A11=8,IF(D11&lt;=8000,0.007*D11+61,0.009*D11+44.667),IF(A11=9,IF(D11&lt;=8000,0.0075*D11+55,0.0093*D11+40.833),IF(A11=10,IF(D11&lt;=7000,0.0075*D11+38.5,0.01*D11+21),IF(A11=51,0.0058*D11+7.0627,IF(A11=52,0.0055*D11+6.8356,IF(A11=53,0.0052*D11+6.0136,VLOOKUP(B11,'Daten Tierhaltung'!$B$7:$G$108,4,FALSE)))))))))</f>
        <v>129.18299999999999</v>
      </c>
      <c r="J11" s="687">
        <f>IF(A11=6,IF(D11&lt;=8000,0.0035*D11+15,0.002*D11+27),IF(A11=7,IF(D11&lt;=8000,0.003*D11+19,0.0025*D11+23),IF(A11=8,IF(D11&lt;=8000,0.0025*D11+22,0.0025*D11+22),IF(A11=9,IF(D11&lt;=8000,0.003*D11+18,0.0025*D11+22),IF(A11=10,IF(D11&lt;=7000,0.003*D11+12,0.0045*D11+1.5),IF(A11=51,0.0009*D11+4.1288,IF(A11=52,0.0014*D11+3.0932,IF(A11=53,0.0006*D11+3.3542,VLOOKUP(B11,'Daten Tierhaltung'!$B$7:$G$108,5,FALSE)))))))))</f>
        <v>45.75</v>
      </c>
      <c r="K11" s="687">
        <f>IF(A11=6,IF(D11&lt;=8000,0.004*D11+110,0.004*D11+110),IF(A11=7,IF(D11&lt;=8000,0.0025*D11+114,0.0045*D11+98),IF(A11=8,IF(D11&lt;=8000,0.007*D11+67,0.004*D11+91),IF(A11=9,IF(D11&lt;=8000,0.006*D11+68,0.0045*D11+80),IF(A11=10,IF(D11&lt;=7000,0.006*D11+54,0.006*D11+54),IF(A11=51,0.0023*D11+3.9271,IF(A11=52,0.0028*D11+3.3915,IF(A11=53,0.0024*D11+3.522,VLOOKUP(B11,'Daten Tierhaltung'!$B$7:$G$108,6,FALSE)))))))))</f>
        <v>122.75</v>
      </c>
      <c r="L11" s="687" t="str">
        <f>IF(C11="Abgabe an andere Betriebe",E11*I11*(($F11/365*VLOOKUP(B11,'Daten Tierhaltung'!$B$7:$I$108,7,FALSE))+(($G11/365*VLOOKUP(B11,'Daten Tierhaltung'!$B$7:$I$108,8,FALSE)))),"0")</f>
        <v>0</v>
      </c>
      <c r="M11" s="695">
        <f>IF(C11="auf selbst bewirtschaft. Flächen",E11*I11*(($F11/365*VLOOKUP(B11,'Daten Tierhaltung'!$B$7:$I$108,7,FALSE))+(($G11/365*VLOOKUP(B11,'Daten Tierhaltung'!$B$7:$I$108,8,FALSE)))),"0")</f>
        <v>21642.576575342464</v>
      </c>
      <c r="N11" s="682">
        <f>E11*H11/365*VLOOKUP(B11,'Daten Tierhaltung'!$B$7:$I$108,8,FALSE)*I11</f>
        <v>0</v>
      </c>
      <c r="O11" s="689" t="str">
        <f>IF(C11="in eigene Biogasanlage",E11*I11*((0.95*F11/365*VLOOKUP(B11,'Daten Tierhaltung'!$B$7:$I$108,7,FALSE))+((0.95*G11/365*VLOOKUP(B11,'Daten Tierhaltung'!$B$7:$I$108,8,FALSE)))),"0")</f>
        <v>0</v>
      </c>
      <c r="P11" s="687">
        <f>IF(C11="auf selbst bewirtschaft. Flächen",E11*I11*(($F11/365*VLOOKUP(B11,'Daten Tierhaltung'!$B$7:$K$108,9,FALSE))+(($G11/365*VLOOKUP(B11,'Daten Tierhaltung'!$B$7:$K$108,10,FALSE)))),"0")</f>
        <v>12465.274684931508</v>
      </c>
      <c r="Q11" s="687">
        <f t="shared" ref="Q11:Q42" si="1">IF(C11="auf selbst bewirtschaft. Flächen",E11*J11*($F11/365+$G11/365),"0")</f>
        <v>9150</v>
      </c>
      <c r="R11" s="687">
        <f t="shared" ref="R11:R42" si="2">IF(C11="auf selbst bewirtschaft. Flächen",E11*K11*($F11/365+$G11/365),"0")</f>
        <v>24550</v>
      </c>
    </row>
    <row r="12" spans="1:19" x14ac:dyDescent="0.25">
      <c r="A12" s="680">
        <f>VLOOKUP(B12,'Daten Tierhaltung'!$B$7:$C$108,2,FALSE)</f>
        <v>4</v>
      </c>
      <c r="B12" s="685" t="s">
        <v>860</v>
      </c>
      <c r="C12" s="685" t="s">
        <v>1026</v>
      </c>
      <c r="D12" s="1243">
        <v>0</v>
      </c>
      <c r="E12" s="1243">
        <v>160</v>
      </c>
      <c r="F12" s="686">
        <f t="shared" ref="F12:F42" si="3">IF(OR(A12=57,A12=58,A12=59,A12=60,A12=61,A12=62,A12=63,A12=64,A12=65,A12=66,A12=67,A12=68,A12=69,A12=70,A12=71,A12=72,A12=73,A12=74,A12=75,A12=76,A12=77,A12=78,A12=79,A12=80,A12=81,A12=82,A12=83,A12=84,A12=85,A12=86,A12=87,A12=88,A12=89,A12=90,A12=91,A12=92,A12=93,A12=94,A12=95,A12=96,A12=97,A12=98,A12=99),0,IF(365-G12-H12&lt;0,0,365-G12-H12))</f>
        <v>165</v>
      </c>
      <c r="G12" s="1243">
        <v>100</v>
      </c>
      <c r="H12" s="1243">
        <v>100</v>
      </c>
      <c r="I12" s="687">
        <f>IF(A12=6,IF(D12&lt;=8000,0.0075*D12+69,0.007*D12+73),IF(A12=7,IF(D12&lt;=8000,0.0075*D12+64,0.0085*D12+56),IF(A12=8,IF(D12&lt;=8000,0.007*D12+61,0.009*D12+44.667),IF(A12=9,IF(D12&lt;=8000,0.0075*D12+55,0.0093*D12+40.833),IF(A12=10,IF(D12&lt;=7000,0.0075*D12+38.5,0.01*D12+21),IF(A12=51,0.0058*D12+7.0627,IF(A12=52,0.0055*D12+6.8356,IF(A12=53,0.0052*D12+6.0136,VLOOKUP(B12,'Daten Tierhaltung'!$B$7:$G$108,4,FALSE)))))))))</f>
        <v>48</v>
      </c>
      <c r="J12" s="687">
        <f>IF(A12=6,IF(D12&lt;=8000,0.0035*D12+15,0.002*D12+27),IF(A12=7,IF(D12&lt;=8000,0.003*D12+19,0.0025*D12+23),IF(A12=8,IF(D12&lt;=8000,0.0025*D12+22,0.0025*D12+22),IF(A12=9,IF(D12&lt;=8000,0.003*D12+18,0.0025*D12+22),IF(A12=10,IF(D12&lt;=7000,0.003*D12+12,0.0045*D12+1.5),IF(A12=51,0.0009*D12+4.1288,IF(A12=52,0.0014*D12+3.0932,IF(A12=53,0.0006*D12+3.3542,VLOOKUP(B12,'Daten Tierhaltung'!$B$7:$G$108,5,FALSE)))))))))</f>
        <v>15.5</v>
      </c>
      <c r="K12" s="687">
        <f>IF(A12=6,IF(D12&lt;=8000,0.004*D12+110,0.004*D12+110),IF(A12=7,IF(D12&lt;=8000,0.0025*D12+114,0.0045*D12+98),IF(A12=8,IF(D12&lt;=8000,0.007*D12+67,0.004*D12+91),IF(A12=9,IF(D12&lt;=8000,0.006*D12+68,0.0045*D12+80),IF(A12=10,IF(D12&lt;=7000,0.006*D12+54,0.006*D12+54),IF(A12=51,0.0023*D12+3.9271,IF(A12=52,0.0028*D12+3.3915,IF(A12=53,0.0024*D12+3.522,VLOOKUP(B12,'Daten Tierhaltung'!$B$7:$G$108,6,FALSE)))))))))</f>
        <v>59.111111111111107</v>
      </c>
      <c r="L12" s="687" t="str">
        <f>IF(C12="Abgabe an andere Betriebe",E12*I12*(($F12/365*VLOOKUP(B12,'Daten Tierhaltung'!$B$7:$I$108,7,FALSE))+(($G12/365*VLOOKUP(B12,'Daten Tierhaltung'!$B$7:$I$108,8,FALSE)))),"0")</f>
        <v>0</v>
      </c>
      <c r="M12" s="695">
        <f>IF(C12="auf selbst bewirtschaft. Flächen",E12*I12*(($F12/365*VLOOKUP(B12,'Daten Tierhaltung'!$B$7:$I$108,7,FALSE))+(($G12/365*VLOOKUP(B12,'Daten Tierhaltung'!$B$7:$I$108,8,FALSE)))),"0")</f>
        <v>4423.890410958903</v>
      </c>
      <c r="N12" s="682">
        <f>E12*H12/365*VLOOKUP(B12,'Daten Tierhaltung'!$B$7:$I$108,8,FALSE)*I12</f>
        <v>1472.8767123287669</v>
      </c>
      <c r="O12" s="689" t="str">
        <f>IF(C12="in eigene Biogasanlage",E12*I12*((0.95*F12/365*VLOOKUP(B12,'Daten Tierhaltung'!$B$7:$I$108,7,FALSE))+((0.95*G12/365*VLOOKUP(B12,'Daten Tierhaltung'!$B$7:$I$108,8,FALSE)))),"0")</f>
        <v>0</v>
      </c>
      <c r="P12" s="687">
        <f>IF(C12="auf selbst bewirtschaft. Flächen",E12*I12*(($F12/365*VLOOKUP(B12,'Daten Tierhaltung'!$B$7:$K$108,9,FALSE))+(($G12/365*VLOOKUP(B12,'Daten Tierhaltung'!$B$7:$K$108,10,FALSE)))),"0")</f>
        <v>2138.8273972602742</v>
      </c>
      <c r="Q12" s="687">
        <f t="shared" si="1"/>
        <v>1800.5479452054794</v>
      </c>
      <c r="R12" s="687">
        <f t="shared" si="2"/>
        <v>6866.6057838660581</v>
      </c>
    </row>
    <row r="13" spans="1:19" x14ac:dyDescent="0.25">
      <c r="A13" s="680">
        <f>VLOOKUP(B13,'Daten Tierhaltung'!$B$7:$C$108,2,FALSE)</f>
        <v>0</v>
      </c>
      <c r="B13" s="685" t="s">
        <v>805</v>
      </c>
      <c r="C13" s="685" t="s">
        <v>1026</v>
      </c>
      <c r="D13" s="1243">
        <v>0</v>
      </c>
      <c r="E13" s="1243">
        <v>0</v>
      </c>
      <c r="F13" s="686">
        <f t="shared" si="3"/>
        <v>365</v>
      </c>
      <c r="G13" s="1243">
        <v>0</v>
      </c>
      <c r="H13" s="1243">
        <v>0</v>
      </c>
      <c r="I13" s="687">
        <f>IF(A13=6,IF(D13&lt;=8000,0.0075*D13+69,0.007*D13+73),IF(A13=7,IF(D13&lt;=8000,0.0075*D13+64,0.0085*D13+56),IF(A13=8,IF(D13&lt;=8000,0.007*D13+61,0.009*D13+44.667),IF(A13=9,IF(D13&lt;=8000,0.0075*D13+55,0.0093*D13+40.833),IF(A13=10,IF(D13&lt;=7000,0.0075*D13+38.5,0.01*D13+21),IF(A13=51,0.0058*D13+7.0627,IF(A13=52,0.0055*D13+6.8356,IF(A13=53,0.0052*D13+6.0136,VLOOKUP(B13,'Daten Tierhaltung'!$B$7:$G$108,4,FALSE)))))))))</f>
        <v>0</v>
      </c>
      <c r="J13" s="687">
        <f>IF(A13=6,IF(D13&lt;=8000,0.0035*D13+15,0.002*D13+27),IF(A13=7,IF(D13&lt;=8000,0.003*D13+19,0.0025*D13+23),IF(A13=8,IF(D13&lt;=8000,0.0025*D13+22,0.0025*D13+22),IF(A13=9,IF(D13&lt;=8000,0.003*D13+18,0.0025*D13+22),IF(A13=10,IF(D13&lt;=7000,0.003*D13+12,0.0045*D13+1.5),IF(A13=51,0.0009*D13+4.1288,IF(A13=52,0.0014*D13+3.0932,IF(A13=53,0.0006*D13+3.3542,VLOOKUP(B13,'Daten Tierhaltung'!$B$7:$G$108,5,FALSE)))))))))</f>
        <v>0</v>
      </c>
      <c r="K13" s="687">
        <f>IF(A13=6,IF(D13&lt;=8000,0.004*D13+110,0.004*D13+110),IF(A13=7,IF(D13&lt;=8000,0.0025*D13+114,0.0045*D13+98),IF(A13=8,IF(D13&lt;=8000,0.007*D13+67,0.004*D13+91),IF(A13=9,IF(D13&lt;=8000,0.006*D13+68,0.0045*D13+80),IF(A13=10,IF(D13&lt;=7000,0.006*D13+54,0.006*D13+54),IF(A13=51,0.0023*D13+3.9271,IF(A13=52,0.0028*D13+3.3915,IF(A13=53,0.0024*D13+3.522,VLOOKUP(B13,'Daten Tierhaltung'!$B$7:$G$108,6,FALSE)))))))))</f>
        <v>0</v>
      </c>
      <c r="L13" s="687" t="str">
        <f>IF(C13="Abgabe an andere Betriebe",E13*I13*(($F13/365*VLOOKUP(B13,'Daten Tierhaltung'!$B$7:$I$108,7,FALSE))+(($G13/365*VLOOKUP(B13,'Daten Tierhaltung'!$B$7:$I$108,8,FALSE)))),"0")</f>
        <v>0</v>
      </c>
      <c r="M13" s="695">
        <f>IF(C13="auf selbst bewirtschaft. Flächen",E13*I13*(($F13/365*VLOOKUP(B13,'Daten Tierhaltung'!$B$7:$I$108,7,FALSE))+(($G13/365*VLOOKUP(B13,'Daten Tierhaltung'!$B$7:$I$108,8,FALSE)))),"0")</f>
        <v>0</v>
      </c>
      <c r="N13" s="682">
        <f>E13*H13/365*VLOOKUP(B13,'Daten Tierhaltung'!$B$7:$I$108,8,FALSE)*I13</f>
        <v>0</v>
      </c>
      <c r="O13" s="689" t="str">
        <f>IF(C13="in eigene Biogasanlage",E13*I13*((0.95*F13/365*VLOOKUP(B13,'Daten Tierhaltung'!$B$7:$I$108,7,FALSE))+((0.95*G13/365*VLOOKUP(B13,'Daten Tierhaltung'!$B$7:$I$108,8,FALSE)))),"0")</f>
        <v>0</v>
      </c>
      <c r="P13" s="687">
        <f>IF(C13="auf selbst bewirtschaft. Flächen",E13*I13*(($F13/365*VLOOKUP(B13,'Daten Tierhaltung'!$B$7:$K$108,9,FALSE))+(($G13/365*VLOOKUP(B13,'Daten Tierhaltung'!$B$7:$K$108,10,FALSE)))),"0")</f>
        <v>0</v>
      </c>
      <c r="Q13" s="687">
        <f t="shared" si="1"/>
        <v>0</v>
      </c>
      <c r="R13" s="687">
        <f t="shared" si="2"/>
        <v>0</v>
      </c>
    </row>
    <row r="14" spans="1:19" x14ac:dyDescent="0.25">
      <c r="A14" s="680">
        <f>VLOOKUP(B14,'Daten Tierhaltung'!$B$7:$C$108,2,FALSE)</f>
        <v>0</v>
      </c>
      <c r="B14" s="685" t="s">
        <v>805</v>
      </c>
      <c r="C14" s="685" t="s">
        <v>1026</v>
      </c>
      <c r="D14" s="1243">
        <v>0</v>
      </c>
      <c r="E14" s="1243">
        <v>0</v>
      </c>
      <c r="F14" s="686">
        <f t="shared" si="3"/>
        <v>365</v>
      </c>
      <c r="G14" s="1243">
        <v>0</v>
      </c>
      <c r="H14" s="1243">
        <v>0</v>
      </c>
      <c r="I14" s="687">
        <f>IF(A14=6,IF(D14&lt;=8000,0.0075*D14+69,0.007*D14+73),IF(A14=7,IF(D14&lt;=8000,0.0075*D14+64,0.0085*D14+56),IF(A14=8,IF(D14&lt;=8000,0.007*D14+61,0.009*D14+44.667),IF(A14=9,IF(D14&lt;=8000,0.0075*D14+55,0.0093*D14+40.833),IF(A14=10,IF(D14&lt;=7000,0.0075*D14+38.5,0.01*D14+21),IF(A14=51,0.0058*D14+7.0627,IF(A14=52,0.0055*D14+6.8356,IF(A14=53,0.0052*D14+6.0136,VLOOKUP(B14,'Daten Tierhaltung'!$B$7:$G$108,4,FALSE)))))))))</f>
        <v>0</v>
      </c>
      <c r="J14" s="687">
        <f>IF(A14=6,IF(D14&lt;=8000,0.0035*D14+15,0.002*D14+27),IF(A14=7,IF(D14&lt;=8000,0.003*D14+19,0.0025*D14+23),IF(A14=8,IF(D14&lt;=8000,0.0025*D14+22,0.0025*D14+22),IF(A14=9,IF(D14&lt;=8000,0.003*D14+18,0.0025*D14+22),IF(A14=10,IF(D14&lt;=7000,0.003*D14+12,0.0045*D14+1.5),IF(A14=51,0.0009*D14+4.1288,IF(A14=52,0.0014*D14+3.0932,IF(A14=53,0.0006*D14+3.3542,VLOOKUP(B14,'Daten Tierhaltung'!$B$7:$G$108,5,FALSE)))))))))</f>
        <v>0</v>
      </c>
      <c r="K14" s="687">
        <f>IF(A14=6,IF(D14&lt;=8000,0.004*D14+110,0.004*D14+110),IF(A14=7,IF(D14&lt;=8000,0.0025*D14+114,0.0045*D14+98),IF(A14=8,IF(D14&lt;=8000,0.007*D14+67,0.004*D14+91),IF(A14=9,IF(D14&lt;=8000,0.006*D14+68,0.0045*D14+80),IF(A14=10,IF(D14&lt;=7000,0.006*D14+54,0.006*D14+54),IF(A14=51,0.0023*D14+3.9271,IF(A14=52,0.0028*D14+3.3915,IF(A14=53,0.0024*D14+3.522,VLOOKUP(B14,'Daten Tierhaltung'!$B$7:$G$108,6,FALSE)))))))))</f>
        <v>0</v>
      </c>
      <c r="L14" s="687" t="str">
        <f>IF(C14="Abgabe an andere Betriebe",E14*I14*(($F14/365*VLOOKUP(B14,'Daten Tierhaltung'!$B$7:$I$108,7,FALSE))+(($G14/365*VLOOKUP(B14,'Daten Tierhaltung'!$B$7:$I$108,8,FALSE)))),"0")</f>
        <v>0</v>
      </c>
      <c r="M14" s="695">
        <f>IF(C14="auf selbst bewirtschaft. Flächen",E14*I14*(($F14/365*VLOOKUP(B14,'Daten Tierhaltung'!$B$7:$I$108,7,FALSE))+(($G14/365*VLOOKUP(B14,'Daten Tierhaltung'!$B$7:$I$108,8,FALSE)))),"0")</f>
        <v>0</v>
      </c>
      <c r="N14" s="682">
        <f>E14*H14/365*VLOOKUP(B14,'Daten Tierhaltung'!$B$7:$I$108,8,FALSE)*I14</f>
        <v>0</v>
      </c>
      <c r="O14" s="689" t="str">
        <f>IF(C14="in eigene Biogasanlage",E14*I14*((0.95*F14/365*VLOOKUP(B14,'Daten Tierhaltung'!$B$7:$I$108,7,FALSE))+((0.95*G14/365*VLOOKUP(B14,'Daten Tierhaltung'!$B$7:$I$108,8,FALSE)))),"0")</f>
        <v>0</v>
      </c>
      <c r="P14" s="687">
        <f>IF(C14="auf selbst bewirtschaft. Flächen",E14*I14*(($F14/365*VLOOKUP(B14,'Daten Tierhaltung'!$B$7:$K$108,9,FALSE))+(($G14/365*VLOOKUP(B14,'Daten Tierhaltung'!$B$7:$K$108,10,FALSE)))),"0")</f>
        <v>0</v>
      </c>
      <c r="Q14" s="687">
        <f t="shared" si="1"/>
        <v>0</v>
      </c>
      <c r="R14" s="687">
        <f t="shared" si="2"/>
        <v>0</v>
      </c>
    </row>
    <row r="15" spans="1:19" x14ac:dyDescent="0.25">
      <c r="A15" s="680">
        <f>VLOOKUP(B15,'Daten Tierhaltung'!$B$7:$C$108,2,FALSE)</f>
        <v>0</v>
      </c>
      <c r="B15" s="685" t="s">
        <v>805</v>
      </c>
      <c r="C15" s="685" t="s">
        <v>1026</v>
      </c>
      <c r="D15" s="1243">
        <v>0</v>
      </c>
      <c r="E15" s="1243">
        <v>0</v>
      </c>
      <c r="F15" s="686">
        <f t="shared" si="3"/>
        <v>365</v>
      </c>
      <c r="G15" s="1243">
        <v>0</v>
      </c>
      <c r="H15" s="1243">
        <v>0</v>
      </c>
      <c r="I15" s="687">
        <f>IF(A15=6,IF(D15&lt;=8000,0.0075*D15+69,0.007*D15+73),IF(A15=7,IF(D15&lt;=8000,0.0075*D15+64,0.0085*D15+56),IF(A15=8,IF(D15&lt;=8000,0.007*D15+61,0.009*D15+44.667),IF(A15=9,IF(D15&lt;=8000,0.0075*D15+55,0.0093*D15+40.833),IF(A15=10,IF(D15&lt;=7000,0.0075*D15+38.5,0.01*D15+21),IF(A15=51,0.0058*D15+7.0627,IF(A15=52,0.0055*D15+6.8356,IF(A15=53,0.0052*D15+6.0136,VLOOKUP(B15,'Daten Tierhaltung'!$B$7:$G$108,4,FALSE)))))))))</f>
        <v>0</v>
      </c>
      <c r="J15" s="687">
        <f>IF(A15=6,IF(D15&lt;=8000,0.0035*D15+15,0.002*D15+27),IF(A15=7,IF(D15&lt;=8000,0.003*D15+19,0.0025*D15+23),IF(A15=8,IF(D15&lt;=8000,0.0025*D15+22,0.0025*D15+22),IF(A15=9,IF(D15&lt;=8000,0.003*D15+18,0.0025*D15+22),IF(A15=10,IF(D15&lt;=7000,0.003*D15+12,0.0045*D15+1.5),IF(A15=51,0.0009*D15+4.1288,IF(A15=52,0.0014*D15+3.0932,IF(A15=53,0.0006*D15+3.3542,VLOOKUP(B15,'Daten Tierhaltung'!$B$7:$G$108,5,FALSE)))))))))</f>
        <v>0</v>
      </c>
      <c r="K15" s="687">
        <f>IF(A15=6,IF(D15&lt;=8000,0.004*D15+110,0.004*D15+110),IF(A15=7,IF(D15&lt;=8000,0.0025*D15+114,0.0045*D15+98),IF(A15=8,IF(D15&lt;=8000,0.007*D15+67,0.004*D15+91),IF(A15=9,IF(D15&lt;=8000,0.006*D15+68,0.0045*D15+80),IF(A15=10,IF(D15&lt;=7000,0.006*D15+54,0.006*D15+54),IF(A15=51,0.0023*D15+3.9271,IF(A15=52,0.0028*D15+3.3915,IF(A15=53,0.0024*D15+3.522,VLOOKUP(B15,'Daten Tierhaltung'!$B$7:$G$108,6,FALSE)))))))))</f>
        <v>0</v>
      </c>
      <c r="L15" s="687" t="str">
        <f>IF(C15="Abgabe an andere Betriebe",E15*I15*(($F15/365*VLOOKUP(B15,'Daten Tierhaltung'!$B$7:$I$108,7,FALSE))+(($G15/365*VLOOKUP(B15,'Daten Tierhaltung'!$B$7:$I$108,8,FALSE)))),"0")</f>
        <v>0</v>
      </c>
      <c r="M15" s="695">
        <f>IF(C15="auf selbst bewirtschaft. Flächen",E15*I15*(($F15/365*VLOOKUP(B15,'Daten Tierhaltung'!$B$7:$I$108,7,FALSE))+(($G15/365*VLOOKUP(B15,'Daten Tierhaltung'!$B$7:$I$108,8,FALSE)))),"0")</f>
        <v>0</v>
      </c>
      <c r="N15" s="682">
        <f>E15*H15/365*VLOOKUP(B15,'Daten Tierhaltung'!$B$7:$I$108,8,FALSE)*I15</f>
        <v>0</v>
      </c>
      <c r="O15" s="689" t="str">
        <f>IF(C15="in eigene Biogasanlage",E15*I15*((0.95*F15/365*VLOOKUP(B15,'Daten Tierhaltung'!$B$7:$I$108,7,FALSE))+((0.95*G15/365*VLOOKUP(B15,'Daten Tierhaltung'!$B$7:$I$108,8,FALSE)))),"0")</f>
        <v>0</v>
      </c>
      <c r="P15" s="687">
        <f>IF(C15="auf selbst bewirtschaft. Flächen",E15*I15*(($F15/365*VLOOKUP(B15,'Daten Tierhaltung'!$B$7:$K$108,9,FALSE))+(($G15/365*VLOOKUP(B15,'Daten Tierhaltung'!$B$7:$K$108,10,FALSE)))),"0")</f>
        <v>0</v>
      </c>
      <c r="Q15" s="687">
        <f t="shared" si="1"/>
        <v>0</v>
      </c>
      <c r="R15" s="687">
        <f t="shared" si="2"/>
        <v>0</v>
      </c>
    </row>
    <row r="16" spans="1:19" x14ac:dyDescent="0.25">
      <c r="A16" s="680">
        <f>VLOOKUP(B16,'Daten Tierhaltung'!$B$7:$C$108,2,FALSE)</f>
        <v>0</v>
      </c>
      <c r="B16" s="685" t="s">
        <v>805</v>
      </c>
      <c r="C16" s="685" t="s">
        <v>1026</v>
      </c>
      <c r="D16" s="1243">
        <v>0</v>
      </c>
      <c r="E16" s="1243">
        <v>0</v>
      </c>
      <c r="F16" s="686">
        <f t="shared" si="3"/>
        <v>365</v>
      </c>
      <c r="G16" s="1243">
        <v>0</v>
      </c>
      <c r="H16" s="1243">
        <v>0</v>
      </c>
      <c r="I16" s="687">
        <f>IF(A16=6,IF(D16&lt;=8000,0.0075*D16+69,0.007*D16+73),IF(A16=7,IF(D16&lt;=8000,0.0075*D16+64,0.0085*D16+56),IF(A16=8,IF(D16&lt;=8000,0.007*D16+61,0.009*D16+44.667),IF(A16=9,IF(D16&lt;=8000,0.0075*D16+55,0.0093*D16+40.833),IF(A16=10,IF(D16&lt;=7000,0.0075*D16+38.5,0.01*D16+21),IF(A16=51,0.0058*D16+7.0627,IF(A16=52,0.0055*D16+6.8356,IF(A16=53,0.0052*D16+6.0136,VLOOKUP(B16,'Daten Tierhaltung'!$B$7:$G$108,4,FALSE)))))))))</f>
        <v>0</v>
      </c>
      <c r="J16" s="687">
        <f>IF(A16=6,IF(D16&lt;=8000,0.0035*D16+15,0.002*D16+27),IF(A16=7,IF(D16&lt;=8000,0.003*D16+19,0.0025*D16+23),IF(A16=8,IF(D16&lt;=8000,0.0025*D16+22,0.0025*D16+22),IF(A16=9,IF(D16&lt;=8000,0.003*D16+18,0.0025*D16+22),IF(A16=10,IF(D16&lt;=7000,0.003*D16+12,0.0045*D16+1.5),IF(A16=51,0.0009*D16+4.1288,IF(A16=52,0.0014*D16+3.0932,IF(A16=53,0.0006*D16+3.3542,VLOOKUP(B16,'Daten Tierhaltung'!$B$7:$G$108,5,FALSE)))))))))</f>
        <v>0</v>
      </c>
      <c r="K16" s="687">
        <f>IF(A16=6,IF(D16&lt;=8000,0.004*D16+110,0.004*D16+110),IF(A16=7,IF(D16&lt;=8000,0.0025*D16+114,0.0045*D16+98),IF(A16=8,IF(D16&lt;=8000,0.007*D16+67,0.004*D16+91),IF(A16=9,IF(D16&lt;=8000,0.006*D16+68,0.0045*D16+80),IF(A16=10,IF(D16&lt;=7000,0.006*D16+54,0.006*D16+54),IF(A16=51,0.0023*D16+3.9271,IF(A16=52,0.0028*D16+3.3915,IF(A16=53,0.0024*D16+3.522,VLOOKUP(B16,'Daten Tierhaltung'!$B$7:$G$108,6,FALSE)))))))))</f>
        <v>0</v>
      </c>
      <c r="L16" s="687" t="str">
        <f>IF(C16="Abgabe an andere Betriebe",E16*I16*(($F16/365*VLOOKUP(B16,'Daten Tierhaltung'!$B$7:$I$108,7,FALSE))+(($G16/365*VLOOKUP(B16,'Daten Tierhaltung'!$B$7:$I$108,8,FALSE)))),"0")</f>
        <v>0</v>
      </c>
      <c r="M16" s="695">
        <f>IF(C16="auf selbst bewirtschaft. Flächen",E16*I16*(($F16/365*VLOOKUP(B16,'Daten Tierhaltung'!$B$7:$I$108,7,FALSE))+(($G16/365*VLOOKUP(B16,'Daten Tierhaltung'!$B$7:$I$108,8,FALSE)))),"0")</f>
        <v>0</v>
      </c>
      <c r="N16" s="682">
        <f>E16*H16/365*VLOOKUP(B16,'Daten Tierhaltung'!$B$7:$I$108,8,FALSE)*I16</f>
        <v>0</v>
      </c>
      <c r="O16" s="689" t="str">
        <f>IF(C16="in eigene Biogasanlage",E16*I16*((0.95*F16/365*VLOOKUP(B16,'Daten Tierhaltung'!$B$7:$I$108,7,FALSE))+((0.95*G16/365*VLOOKUP(B16,'Daten Tierhaltung'!$B$7:$I$108,8,FALSE)))),"0")</f>
        <v>0</v>
      </c>
      <c r="P16" s="687">
        <f>IF(C16="auf selbst bewirtschaft. Flächen",E16*I16*(($F16/365*VLOOKUP(B16,'Daten Tierhaltung'!$B$7:$K$108,9,FALSE))+(($G16/365*VLOOKUP(B16,'Daten Tierhaltung'!$B$7:$K$108,10,FALSE)))),"0")</f>
        <v>0</v>
      </c>
      <c r="Q16" s="687">
        <f t="shared" si="1"/>
        <v>0</v>
      </c>
      <c r="R16" s="687">
        <f t="shared" si="2"/>
        <v>0</v>
      </c>
    </row>
    <row r="17" spans="1:18" x14ac:dyDescent="0.25">
      <c r="A17" s="680">
        <f>VLOOKUP(B17,'Daten Tierhaltung'!$B$7:$C$108,2,FALSE)</f>
        <v>0</v>
      </c>
      <c r="B17" s="685" t="s">
        <v>805</v>
      </c>
      <c r="C17" s="685" t="s">
        <v>1026</v>
      </c>
      <c r="D17" s="1243">
        <v>0</v>
      </c>
      <c r="E17" s="1243">
        <v>0</v>
      </c>
      <c r="F17" s="686">
        <f t="shared" si="3"/>
        <v>365</v>
      </c>
      <c r="G17" s="1243">
        <v>0</v>
      </c>
      <c r="H17" s="1243">
        <v>0</v>
      </c>
      <c r="I17" s="687">
        <f>IF(A17=6,IF(D17&lt;=8000,0.0075*D17+69,0.007*D17+73),IF(A17=7,IF(D17&lt;=8000,0.0075*D17+64,0.0085*D17+56),IF(A17=8,IF(D17&lt;=8000,0.007*D17+61,0.009*D17+44.667),IF(A17=9,IF(D17&lt;=8000,0.0075*D17+55,0.0093*D17+40.833),IF(A17=10,IF(D17&lt;=7000,0.0075*D17+38.5,0.01*D17+21),IF(A17=51,0.0058*D17+7.0627,IF(A17=52,0.0055*D17+6.8356,IF(A17=53,0.0052*D17+6.0136,VLOOKUP(B17,'Daten Tierhaltung'!$B$7:$G$108,4,FALSE)))))))))</f>
        <v>0</v>
      </c>
      <c r="J17" s="687">
        <f>IF(A17=6,IF(D17&lt;=8000,0.0035*D17+15,0.002*D17+27),IF(A17=7,IF(D17&lt;=8000,0.003*D17+19,0.0025*D17+23),IF(A17=8,IF(D17&lt;=8000,0.0025*D17+22,0.0025*D17+22),IF(A17=9,IF(D17&lt;=8000,0.003*D17+18,0.0025*D17+22),IF(A17=10,IF(D17&lt;=7000,0.003*D17+12,0.0045*D17+1.5),IF(A17=51,0.0009*D17+4.1288,IF(A17=52,0.0014*D17+3.0932,IF(A17=53,0.0006*D17+3.3542,VLOOKUP(B17,'Daten Tierhaltung'!$B$7:$G$108,5,FALSE)))))))))</f>
        <v>0</v>
      </c>
      <c r="K17" s="687">
        <f>IF(A17=6,IF(D17&lt;=8000,0.004*D17+110,0.004*D17+110),IF(A17=7,IF(D17&lt;=8000,0.0025*D17+114,0.0045*D17+98),IF(A17=8,IF(D17&lt;=8000,0.007*D17+67,0.004*D17+91),IF(A17=9,IF(D17&lt;=8000,0.006*D17+68,0.0045*D17+80),IF(A17=10,IF(D17&lt;=7000,0.006*D17+54,0.006*D17+54),IF(A17=51,0.0023*D17+3.9271,IF(A17=52,0.0028*D17+3.3915,IF(A17=53,0.0024*D17+3.522,VLOOKUP(B17,'Daten Tierhaltung'!$B$7:$G$108,6,FALSE)))))))))</f>
        <v>0</v>
      </c>
      <c r="L17" s="687" t="str">
        <f>IF(C17="Abgabe an andere Betriebe",E17*I17*(($F17/365*VLOOKUP(B17,'Daten Tierhaltung'!$B$7:$I$108,7,FALSE))+(($G17/365*VLOOKUP(B17,'Daten Tierhaltung'!$B$7:$I$108,8,FALSE)))),"0")</f>
        <v>0</v>
      </c>
      <c r="M17" s="695">
        <f>IF(C17="auf selbst bewirtschaft. Flächen",E17*I17*(($F17/365*VLOOKUP(B17,'Daten Tierhaltung'!$B$7:$I$108,7,FALSE))+(($G17/365*VLOOKUP(B17,'Daten Tierhaltung'!$B$7:$I$108,8,FALSE)))),"0")</f>
        <v>0</v>
      </c>
      <c r="N17" s="682">
        <f>E17*H17/365*VLOOKUP(B17,'Daten Tierhaltung'!$B$7:$I$108,8,FALSE)*I17</f>
        <v>0</v>
      </c>
      <c r="O17" s="689" t="str">
        <f>IF(C17="in eigene Biogasanlage",E17*I17*((0.95*F17/365*VLOOKUP(B17,'Daten Tierhaltung'!$B$7:$I$108,7,FALSE))+((0.95*G17/365*VLOOKUP(B17,'Daten Tierhaltung'!$B$7:$I$108,8,FALSE)))),"0")</f>
        <v>0</v>
      </c>
      <c r="P17" s="687">
        <f>IF(C17="auf selbst bewirtschaft. Flächen",E17*I17*(($F17/365*VLOOKUP(B17,'Daten Tierhaltung'!$B$7:$K$108,9,FALSE))+(($G17/365*VLOOKUP(B17,'Daten Tierhaltung'!$B$7:$K$108,10,FALSE)))),"0")</f>
        <v>0</v>
      </c>
      <c r="Q17" s="687">
        <f t="shared" si="1"/>
        <v>0</v>
      </c>
      <c r="R17" s="687">
        <f t="shared" si="2"/>
        <v>0</v>
      </c>
    </row>
    <row r="18" spans="1:18" x14ac:dyDescent="0.25">
      <c r="A18" s="680">
        <f>VLOOKUP(B18,'Daten Tierhaltung'!$B$7:$C$108,2,FALSE)</f>
        <v>0</v>
      </c>
      <c r="B18" s="685" t="s">
        <v>805</v>
      </c>
      <c r="C18" s="685" t="s">
        <v>1026</v>
      </c>
      <c r="D18" s="1243">
        <v>0</v>
      </c>
      <c r="E18" s="1243">
        <v>0</v>
      </c>
      <c r="F18" s="686">
        <f t="shared" si="3"/>
        <v>365</v>
      </c>
      <c r="G18" s="1243">
        <v>0</v>
      </c>
      <c r="H18" s="1243">
        <v>0</v>
      </c>
      <c r="I18" s="687">
        <f>IF(A18=6,IF(D18&lt;=8000,0.0075*D18+69,0.007*D18+73),IF(A18=7,IF(D18&lt;=8000,0.0075*D18+64,0.0085*D18+56),IF(A18=8,IF(D18&lt;=8000,0.007*D18+61,0.009*D18+44.667),IF(A18=9,IF(D18&lt;=8000,0.0075*D18+55,0.0093*D18+40.833),IF(A18=10,IF(D18&lt;=7000,0.0075*D18+38.5,0.01*D18+21),IF(A18=51,0.0058*D18+7.0627,IF(A18=52,0.0055*D18+6.8356,IF(A18=53,0.0052*D18+6.0136,VLOOKUP(B18,'Daten Tierhaltung'!$B$7:$G$108,4,FALSE)))))))))</f>
        <v>0</v>
      </c>
      <c r="J18" s="687">
        <f>IF(A18=6,IF(D18&lt;=8000,0.0035*D18+15,0.002*D18+27),IF(A18=7,IF(D18&lt;=8000,0.003*D18+19,0.0025*D18+23),IF(A18=8,IF(D18&lt;=8000,0.0025*D18+22,0.0025*D18+22),IF(A18=9,IF(D18&lt;=8000,0.003*D18+18,0.0025*D18+22),IF(A18=10,IF(D18&lt;=7000,0.003*D18+12,0.0045*D18+1.5),IF(A18=51,0.0009*D18+4.1288,IF(A18=52,0.0014*D18+3.0932,IF(A18=53,0.0006*D18+3.3542,VLOOKUP(B18,'Daten Tierhaltung'!$B$7:$G$108,5,FALSE)))))))))</f>
        <v>0</v>
      </c>
      <c r="K18" s="687">
        <f>IF(A18=6,IF(D18&lt;=8000,0.004*D18+110,0.004*D18+110),IF(A18=7,IF(D18&lt;=8000,0.0025*D18+114,0.0045*D18+98),IF(A18=8,IF(D18&lt;=8000,0.007*D18+67,0.004*D18+91),IF(A18=9,IF(D18&lt;=8000,0.006*D18+68,0.0045*D18+80),IF(A18=10,IF(D18&lt;=7000,0.006*D18+54,0.006*D18+54),IF(A18=51,0.0023*D18+3.9271,IF(A18=52,0.0028*D18+3.3915,IF(A18=53,0.0024*D18+3.522,VLOOKUP(B18,'Daten Tierhaltung'!$B$7:$G$108,6,FALSE)))))))))</f>
        <v>0</v>
      </c>
      <c r="L18" s="687" t="str">
        <f>IF(C18="Abgabe an andere Betriebe",E18*I18*(($F18/365*VLOOKUP(B18,'Daten Tierhaltung'!$B$7:$I$108,7,FALSE))+(($G18/365*VLOOKUP(B18,'Daten Tierhaltung'!$B$7:$I$108,8,FALSE)))),"0")</f>
        <v>0</v>
      </c>
      <c r="M18" s="695">
        <f>IF(C18="auf selbst bewirtschaft. Flächen",E18*I18*(($F18/365*VLOOKUP(B18,'Daten Tierhaltung'!$B$7:$I$108,7,FALSE))+(($G18/365*VLOOKUP(B18,'Daten Tierhaltung'!$B$7:$I$108,8,FALSE)))),"0")</f>
        <v>0</v>
      </c>
      <c r="N18" s="682">
        <f>E18*H18/365*VLOOKUP(B18,'Daten Tierhaltung'!$B$7:$I$108,8,FALSE)*I18</f>
        <v>0</v>
      </c>
      <c r="O18" s="689" t="str">
        <f>IF(C18="in eigene Biogasanlage",E18*I18*((0.95*F18/365*VLOOKUP(B18,'Daten Tierhaltung'!$B$7:$I$108,7,FALSE))+((0.95*G18/365*VLOOKUP(B18,'Daten Tierhaltung'!$B$7:$I$108,8,FALSE)))),"0")</f>
        <v>0</v>
      </c>
      <c r="P18" s="687">
        <f>IF(C18="auf selbst bewirtschaft. Flächen",E18*I18*(($F18/365*VLOOKUP(B18,'Daten Tierhaltung'!$B$7:$K$108,9,FALSE))+(($G18/365*VLOOKUP(B18,'Daten Tierhaltung'!$B$7:$K$108,10,FALSE)))),"0")</f>
        <v>0</v>
      </c>
      <c r="Q18" s="687">
        <f t="shared" si="1"/>
        <v>0</v>
      </c>
      <c r="R18" s="687">
        <f t="shared" si="2"/>
        <v>0</v>
      </c>
    </row>
    <row r="19" spans="1:18" x14ac:dyDescent="0.25">
      <c r="A19" s="680">
        <f>VLOOKUP(B19,'Daten Tierhaltung'!$B$7:$C$108,2,FALSE)</f>
        <v>0</v>
      </c>
      <c r="B19" s="685" t="s">
        <v>805</v>
      </c>
      <c r="C19" s="685" t="s">
        <v>1026</v>
      </c>
      <c r="D19" s="1243">
        <v>0</v>
      </c>
      <c r="E19" s="1243">
        <v>0</v>
      </c>
      <c r="F19" s="686">
        <f t="shared" si="3"/>
        <v>365</v>
      </c>
      <c r="G19" s="1243">
        <v>0</v>
      </c>
      <c r="H19" s="1243">
        <v>0</v>
      </c>
      <c r="I19" s="687">
        <f>IF(A19=6,IF(D19&lt;=8000,0.0075*D19+69,0.007*D19+73),IF(A19=7,IF(D19&lt;=8000,0.0075*D19+64,0.0085*D19+56),IF(A19=8,IF(D19&lt;=8000,0.007*D19+61,0.009*D19+44.667),IF(A19=9,IF(D19&lt;=8000,0.0075*D19+55,0.0093*D19+40.833),IF(A19=10,IF(D19&lt;=7000,0.0075*D19+38.5,0.01*D19+21),IF(A19=51,0.0058*D19+7.0627,IF(A19=52,0.0055*D19+6.8356,IF(A19=53,0.0052*D19+6.0136,VLOOKUP(B19,'Daten Tierhaltung'!$B$7:$G$108,4,FALSE)))))))))</f>
        <v>0</v>
      </c>
      <c r="J19" s="687">
        <f>IF(A19=6,IF(D19&lt;=8000,0.0035*D19+15,0.002*D19+27),IF(A19=7,IF(D19&lt;=8000,0.003*D19+19,0.0025*D19+23),IF(A19=8,IF(D19&lt;=8000,0.0025*D19+22,0.0025*D19+22),IF(A19=9,IF(D19&lt;=8000,0.003*D19+18,0.0025*D19+22),IF(A19=10,IF(D19&lt;=7000,0.003*D19+12,0.0045*D19+1.5),IF(A19=51,0.0009*D19+4.1288,IF(A19=52,0.0014*D19+3.0932,IF(A19=53,0.0006*D19+3.3542,VLOOKUP(B19,'Daten Tierhaltung'!$B$7:$G$108,5,FALSE)))))))))</f>
        <v>0</v>
      </c>
      <c r="K19" s="687">
        <f>IF(A19=6,IF(D19&lt;=8000,0.004*D19+110,0.004*D19+110),IF(A19=7,IF(D19&lt;=8000,0.0025*D19+114,0.0045*D19+98),IF(A19=8,IF(D19&lt;=8000,0.007*D19+67,0.004*D19+91),IF(A19=9,IF(D19&lt;=8000,0.006*D19+68,0.0045*D19+80),IF(A19=10,IF(D19&lt;=7000,0.006*D19+54,0.006*D19+54),IF(A19=51,0.0023*D19+3.9271,IF(A19=52,0.0028*D19+3.3915,IF(A19=53,0.0024*D19+3.522,VLOOKUP(B19,'Daten Tierhaltung'!$B$7:$G$108,6,FALSE)))))))))</f>
        <v>0</v>
      </c>
      <c r="L19" s="687" t="str">
        <f>IF(C19="Abgabe an andere Betriebe",E19*I19*(($F19/365*VLOOKUP(B19,'Daten Tierhaltung'!$B$7:$I$108,7,FALSE))+(($G19/365*VLOOKUP(B19,'Daten Tierhaltung'!$B$7:$I$108,8,FALSE)))),"0")</f>
        <v>0</v>
      </c>
      <c r="M19" s="695">
        <f>IF(C19="auf selbst bewirtschaft. Flächen",E19*I19*(($F19/365*VLOOKUP(B19,'Daten Tierhaltung'!$B$7:$I$108,7,FALSE))+(($G19/365*VLOOKUP(B19,'Daten Tierhaltung'!$B$7:$I$108,8,FALSE)))),"0")</f>
        <v>0</v>
      </c>
      <c r="N19" s="682">
        <f>E19*H19/365*VLOOKUP(B19,'Daten Tierhaltung'!$B$7:$I$108,8,FALSE)*I19</f>
        <v>0</v>
      </c>
      <c r="O19" s="689" t="str">
        <f>IF(C19="in eigene Biogasanlage",E19*I19*((0.95*F19/365*VLOOKUP(B19,'Daten Tierhaltung'!$B$7:$I$108,7,FALSE))+((0.95*G19/365*VLOOKUP(B19,'Daten Tierhaltung'!$B$7:$I$108,8,FALSE)))),"0")</f>
        <v>0</v>
      </c>
      <c r="P19" s="687">
        <f>IF(C19="auf selbst bewirtschaft. Flächen",E19*I19*(($F19/365*VLOOKUP(B19,'Daten Tierhaltung'!$B$7:$K$108,9,FALSE))+(($G19/365*VLOOKUP(B19,'Daten Tierhaltung'!$B$7:$K$108,10,FALSE)))),"0")</f>
        <v>0</v>
      </c>
      <c r="Q19" s="687">
        <f t="shared" si="1"/>
        <v>0</v>
      </c>
      <c r="R19" s="687">
        <f t="shared" si="2"/>
        <v>0</v>
      </c>
    </row>
    <row r="20" spans="1:18" x14ac:dyDescent="0.25">
      <c r="A20" s="680">
        <f>VLOOKUP(B20,'Daten Tierhaltung'!$B$7:$C$108,2,FALSE)</f>
        <v>0</v>
      </c>
      <c r="B20" s="685" t="s">
        <v>805</v>
      </c>
      <c r="C20" s="685" t="s">
        <v>1026</v>
      </c>
      <c r="D20" s="1243">
        <v>0</v>
      </c>
      <c r="E20" s="1243">
        <v>0</v>
      </c>
      <c r="F20" s="686">
        <f t="shared" si="3"/>
        <v>365</v>
      </c>
      <c r="G20" s="1243">
        <v>0</v>
      </c>
      <c r="H20" s="1243">
        <v>0</v>
      </c>
      <c r="I20" s="687">
        <f>IF(A20=6,IF(D20&lt;=8000,0.0075*D20+69,0.007*D20+73),IF(A20=7,IF(D20&lt;=8000,0.0075*D20+64,0.0085*D20+56),IF(A20=8,IF(D20&lt;=8000,0.007*D20+61,0.009*D20+44.667),IF(A20=9,IF(D20&lt;=8000,0.0075*D20+55,0.0093*D20+40.833),IF(A20=10,IF(D20&lt;=7000,0.0075*D20+38.5,0.01*D20+21),IF(A20=51,0.0058*D20+7.0627,IF(A20=52,0.0055*D20+6.8356,IF(A20=53,0.0052*D20+6.0136,VLOOKUP(B20,'Daten Tierhaltung'!$B$7:$G$108,4,FALSE)))))))))</f>
        <v>0</v>
      </c>
      <c r="J20" s="687">
        <f>IF(A20=6,IF(D20&lt;=8000,0.0035*D20+15,0.002*D20+27),IF(A20=7,IF(D20&lt;=8000,0.003*D20+19,0.0025*D20+23),IF(A20=8,IF(D20&lt;=8000,0.0025*D20+22,0.0025*D20+22),IF(A20=9,IF(D20&lt;=8000,0.003*D20+18,0.0025*D20+22),IF(A20=10,IF(D20&lt;=7000,0.003*D20+12,0.0045*D20+1.5),IF(A20=51,0.0009*D20+4.1288,IF(A20=52,0.0014*D20+3.0932,IF(A20=53,0.0006*D20+3.3542,VLOOKUP(B20,'Daten Tierhaltung'!$B$7:$G$108,5,FALSE)))))))))</f>
        <v>0</v>
      </c>
      <c r="K20" s="687">
        <f>IF(A20=6,IF(D20&lt;=8000,0.004*D20+110,0.004*D20+110),IF(A20=7,IF(D20&lt;=8000,0.0025*D20+114,0.0045*D20+98),IF(A20=8,IF(D20&lt;=8000,0.007*D20+67,0.004*D20+91),IF(A20=9,IF(D20&lt;=8000,0.006*D20+68,0.0045*D20+80),IF(A20=10,IF(D20&lt;=7000,0.006*D20+54,0.006*D20+54),IF(A20=51,0.0023*D20+3.9271,IF(A20=52,0.0028*D20+3.3915,IF(A20=53,0.0024*D20+3.522,VLOOKUP(B20,'Daten Tierhaltung'!$B$7:$G$108,6,FALSE)))))))))</f>
        <v>0</v>
      </c>
      <c r="L20" s="687" t="str">
        <f>IF(C20="Abgabe an andere Betriebe",E20*I20*(($F20/365*VLOOKUP(B20,'Daten Tierhaltung'!$B$7:$I$108,7,FALSE))+(($G20/365*VLOOKUP(B20,'Daten Tierhaltung'!$B$7:$I$108,8,FALSE)))),"0")</f>
        <v>0</v>
      </c>
      <c r="M20" s="695">
        <f>IF(C20="auf selbst bewirtschaft. Flächen",E20*I20*(($F20/365*VLOOKUP(B20,'Daten Tierhaltung'!$B$7:$I$108,7,FALSE))+(($G20/365*VLOOKUP(B20,'Daten Tierhaltung'!$B$7:$I$108,8,FALSE)))),"0")</f>
        <v>0</v>
      </c>
      <c r="N20" s="682">
        <f>E20*H20/365*VLOOKUP(B20,'Daten Tierhaltung'!$B$7:$I$108,8,FALSE)*I20</f>
        <v>0</v>
      </c>
      <c r="O20" s="689" t="str">
        <f>IF(C20="in eigene Biogasanlage",E20*I20*((0.95*F20/365*VLOOKUP(B20,'Daten Tierhaltung'!$B$7:$I$108,7,FALSE))+((0.95*G20/365*VLOOKUP(B20,'Daten Tierhaltung'!$B$7:$I$108,8,FALSE)))),"0")</f>
        <v>0</v>
      </c>
      <c r="P20" s="687">
        <f>IF(C20="auf selbst bewirtschaft. Flächen",E20*I20*(($F20/365*VLOOKUP(B20,'Daten Tierhaltung'!$B$7:$K$108,9,FALSE))+(($G20/365*VLOOKUP(B20,'Daten Tierhaltung'!$B$7:$K$108,10,FALSE)))),"0")</f>
        <v>0</v>
      </c>
      <c r="Q20" s="687">
        <f t="shared" si="1"/>
        <v>0</v>
      </c>
      <c r="R20" s="687">
        <f t="shared" si="2"/>
        <v>0</v>
      </c>
    </row>
    <row r="21" spans="1:18" x14ac:dyDescent="0.25">
      <c r="A21" s="680">
        <f>VLOOKUP(B21,'Daten Tierhaltung'!$B$7:$C$108,2,FALSE)</f>
        <v>0</v>
      </c>
      <c r="B21" s="685" t="s">
        <v>805</v>
      </c>
      <c r="C21" s="685" t="s">
        <v>1026</v>
      </c>
      <c r="D21" s="1243">
        <v>0</v>
      </c>
      <c r="E21" s="1243">
        <v>0</v>
      </c>
      <c r="F21" s="686">
        <f t="shared" si="3"/>
        <v>365</v>
      </c>
      <c r="G21" s="1243">
        <v>0</v>
      </c>
      <c r="H21" s="1243">
        <v>0</v>
      </c>
      <c r="I21" s="687">
        <f>IF(A21=6,IF(D21&lt;=8000,0.0075*D21+69,0.007*D21+73),IF(A21=7,IF(D21&lt;=8000,0.0075*D21+64,0.0085*D21+56),IF(A21=8,IF(D21&lt;=8000,0.007*D21+61,0.009*D21+44.667),IF(A21=9,IF(D21&lt;=8000,0.0075*D21+55,0.0093*D21+40.833),IF(A21=10,IF(D21&lt;=7000,0.0075*D21+38.5,0.01*D21+21),IF(A21=51,0.0058*D21+7.0627,IF(A21=52,0.0055*D21+6.8356,IF(A21=53,0.0052*D21+6.0136,VLOOKUP(B21,'Daten Tierhaltung'!$B$7:$G$108,4,FALSE)))))))))</f>
        <v>0</v>
      </c>
      <c r="J21" s="687">
        <f>IF(A21=6,IF(D21&lt;=8000,0.0035*D21+15,0.002*D21+27),IF(A21=7,IF(D21&lt;=8000,0.003*D21+19,0.0025*D21+23),IF(A21=8,IF(D21&lt;=8000,0.0025*D21+22,0.0025*D21+22),IF(A21=9,IF(D21&lt;=8000,0.003*D21+18,0.0025*D21+22),IF(A21=10,IF(D21&lt;=7000,0.003*D21+12,0.0045*D21+1.5),IF(A21=51,0.0009*D21+4.1288,IF(A21=52,0.0014*D21+3.0932,IF(A21=53,0.0006*D21+3.3542,VLOOKUP(B21,'Daten Tierhaltung'!$B$7:$G$108,5,FALSE)))))))))</f>
        <v>0</v>
      </c>
      <c r="K21" s="687">
        <f>IF(A21=6,IF(D21&lt;=8000,0.004*D21+110,0.004*D21+110),IF(A21=7,IF(D21&lt;=8000,0.0025*D21+114,0.0045*D21+98),IF(A21=8,IF(D21&lt;=8000,0.007*D21+67,0.004*D21+91),IF(A21=9,IF(D21&lt;=8000,0.006*D21+68,0.0045*D21+80),IF(A21=10,IF(D21&lt;=7000,0.006*D21+54,0.006*D21+54),IF(A21=51,0.0023*D21+3.9271,IF(A21=52,0.0028*D21+3.3915,IF(A21=53,0.0024*D21+3.522,VLOOKUP(B21,'Daten Tierhaltung'!$B$7:$G$108,6,FALSE)))))))))</f>
        <v>0</v>
      </c>
      <c r="L21" s="687" t="str">
        <f>IF(C21="Abgabe an andere Betriebe",E21*I21*(($F21/365*VLOOKUP(B21,'Daten Tierhaltung'!$B$7:$I$108,7,FALSE))+(($G21/365*VLOOKUP(B21,'Daten Tierhaltung'!$B$7:$I$108,8,FALSE)))),"0")</f>
        <v>0</v>
      </c>
      <c r="M21" s="695">
        <f>IF(C21="auf selbst bewirtschaft. Flächen",E21*I21*(($F21/365*VLOOKUP(B21,'Daten Tierhaltung'!$B$7:$I$108,7,FALSE))+(($G21/365*VLOOKUP(B21,'Daten Tierhaltung'!$B$7:$I$108,8,FALSE)))),"0")</f>
        <v>0</v>
      </c>
      <c r="N21" s="682">
        <f>E21*H21/365*VLOOKUP(B21,'Daten Tierhaltung'!$B$7:$I$108,8,FALSE)*I21</f>
        <v>0</v>
      </c>
      <c r="O21" s="689" t="str">
        <f>IF(C21="in eigene Biogasanlage",E21*I21*((0.95*F21/365*VLOOKUP(B21,'Daten Tierhaltung'!$B$7:$I$108,7,FALSE))+((0.95*G21/365*VLOOKUP(B21,'Daten Tierhaltung'!$B$7:$I$108,8,FALSE)))),"0")</f>
        <v>0</v>
      </c>
      <c r="P21" s="687">
        <f>IF(C21="auf selbst bewirtschaft. Flächen",E21*I21*(($F21/365*VLOOKUP(B21,'Daten Tierhaltung'!$B$7:$K$108,9,FALSE))+(($G21/365*VLOOKUP(B21,'Daten Tierhaltung'!$B$7:$K$108,10,FALSE)))),"0")</f>
        <v>0</v>
      </c>
      <c r="Q21" s="687">
        <f t="shared" si="1"/>
        <v>0</v>
      </c>
      <c r="R21" s="687">
        <f t="shared" si="2"/>
        <v>0</v>
      </c>
    </row>
    <row r="22" spans="1:18" x14ac:dyDescent="0.25">
      <c r="A22" s="680">
        <f>VLOOKUP(B22,'Daten Tierhaltung'!$B$7:$C$108,2,FALSE)</f>
        <v>0</v>
      </c>
      <c r="B22" s="685" t="s">
        <v>805</v>
      </c>
      <c r="C22" s="685" t="s">
        <v>1026</v>
      </c>
      <c r="D22" s="1243">
        <v>0</v>
      </c>
      <c r="E22" s="1243">
        <v>0</v>
      </c>
      <c r="F22" s="686">
        <f t="shared" si="3"/>
        <v>365</v>
      </c>
      <c r="G22" s="1243">
        <v>0</v>
      </c>
      <c r="H22" s="1243">
        <v>0</v>
      </c>
      <c r="I22" s="687">
        <f>IF(A22=6,IF(D22&lt;=8000,0.0075*D22+69,0.007*D22+73),IF(A22=7,IF(D22&lt;=8000,0.0075*D22+64,0.0085*D22+56),IF(A22=8,IF(D22&lt;=8000,0.007*D22+61,0.009*D22+44.667),IF(A22=9,IF(D22&lt;=8000,0.0075*D22+55,0.0093*D22+40.833),IF(A22=10,IF(D22&lt;=7000,0.0075*D22+38.5,0.01*D22+21),IF(A22=51,0.0058*D22+7.0627,IF(A22=52,0.0055*D22+6.8356,IF(A22=53,0.0052*D22+6.0136,VLOOKUP(B22,'Daten Tierhaltung'!$B$7:$G$108,4,FALSE)))))))))</f>
        <v>0</v>
      </c>
      <c r="J22" s="687">
        <f>IF(A22=6,IF(D22&lt;=8000,0.0035*D22+15,0.002*D22+27),IF(A22=7,IF(D22&lt;=8000,0.003*D22+19,0.0025*D22+23),IF(A22=8,IF(D22&lt;=8000,0.0025*D22+22,0.0025*D22+22),IF(A22=9,IF(D22&lt;=8000,0.003*D22+18,0.0025*D22+22),IF(A22=10,IF(D22&lt;=7000,0.003*D22+12,0.0045*D22+1.5),IF(A22=51,0.0009*D22+4.1288,IF(A22=52,0.0014*D22+3.0932,IF(A22=53,0.0006*D22+3.3542,VLOOKUP(B22,'Daten Tierhaltung'!$B$7:$G$108,5,FALSE)))))))))</f>
        <v>0</v>
      </c>
      <c r="K22" s="687">
        <f>IF(A22=6,IF(D22&lt;=8000,0.004*D22+110,0.004*D22+110),IF(A22=7,IF(D22&lt;=8000,0.0025*D22+114,0.0045*D22+98),IF(A22=8,IF(D22&lt;=8000,0.007*D22+67,0.004*D22+91),IF(A22=9,IF(D22&lt;=8000,0.006*D22+68,0.0045*D22+80),IF(A22=10,IF(D22&lt;=7000,0.006*D22+54,0.006*D22+54),IF(A22=51,0.0023*D22+3.9271,IF(A22=52,0.0028*D22+3.3915,IF(A22=53,0.0024*D22+3.522,VLOOKUP(B22,'Daten Tierhaltung'!$B$7:$G$108,6,FALSE)))))))))</f>
        <v>0</v>
      </c>
      <c r="L22" s="687" t="str">
        <f>IF(C22="Abgabe an andere Betriebe",E22*I22*(($F22/365*VLOOKUP(B22,'Daten Tierhaltung'!$B$7:$I$108,7,FALSE))+(($G22/365*VLOOKUP(B22,'Daten Tierhaltung'!$B$7:$I$108,8,FALSE)))),"0")</f>
        <v>0</v>
      </c>
      <c r="M22" s="695">
        <f>IF(C22="auf selbst bewirtschaft. Flächen",E22*I22*(($F22/365*VLOOKUP(B22,'Daten Tierhaltung'!$B$7:$I$108,7,FALSE))+(($G22/365*VLOOKUP(B22,'Daten Tierhaltung'!$B$7:$I$108,8,FALSE)))),"0")</f>
        <v>0</v>
      </c>
      <c r="N22" s="682">
        <f>E22*H22/365*VLOOKUP(B22,'Daten Tierhaltung'!$B$7:$I$108,8,FALSE)*I22</f>
        <v>0</v>
      </c>
      <c r="O22" s="689" t="str">
        <f>IF(C22="in eigene Biogasanlage",E22*I22*((0.95*F22/365*VLOOKUP(B22,'Daten Tierhaltung'!$B$7:$I$108,7,FALSE))+((0.95*G22/365*VLOOKUP(B22,'Daten Tierhaltung'!$B$7:$I$108,8,FALSE)))),"0")</f>
        <v>0</v>
      </c>
      <c r="P22" s="687">
        <f>IF(C22="auf selbst bewirtschaft. Flächen",E22*I22*(($F22/365*VLOOKUP(B22,'Daten Tierhaltung'!$B$7:$K$108,9,FALSE))+(($G22/365*VLOOKUP(B22,'Daten Tierhaltung'!$B$7:$K$108,10,FALSE)))),"0")</f>
        <v>0</v>
      </c>
      <c r="Q22" s="687">
        <f t="shared" si="1"/>
        <v>0</v>
      </c>
      <c r="R22" s="687">
        <f t="shared" si="2"/>
        <v>0</v>
      </c>
    </row>
    <row r="23" spans="1:18" x14ac:dyDescent="0.25">
      <c r="A23" s="680">
        <f>VLOOKUP(B23,'Daten Tierhaltung'!$B$7:$C$108,2,FALSE)</f>
        <v>0</v>
      </c>
      <c r="B23" s="685" t="s">
        <v>805</v>
      </c>
      <c r="C23" s="685" t="s">
        <v>1026</v>
      </c>
      <c r="D23" s="1243">
        <v>0</v>
      </c>
      <c r="E23" s="1243">
        <v>0</v>
      </c>
      <c r="F23" s="686">
        <f t="shared" si="3"/>
        <v>365</v>
      </c>
      <c r="G23" s="1243">
        <v>0</v>
      </c>
      <c r="H23" s="1243">
        <v>0</v>
      </c>
      <c r="I23" s="687">
        <f>IF(A23=6,IF(D23&lt;=8000,0.0075*D23+69,0.007*D23+73),IF(A23=7,IF(D23&lt;=8000,0.0075*D23+64,0.0085*D23+56),IF(A23=8,IF(D23&lt;=8000,0.007*D23+61,0.009*D23+44.667),IF(A23=9,IF(D23&lt;=8000,0.0075*D23+55,0.0093*D23+40.833),IF(A23=10,IF(D23&lt;=7000,0.0075*D23+38.5,0.01*D23+21),IF(A23=51,0.0058*D23+7.0627,IF(A23=52,0.0055*D23+6.8356,IF(A23=53,0.0052*D23+6.0136,VLOOKUP(B23,'Daten Tierhaltung'!$B$7:$G$108,4,FALSE)))))))))</f>
        <v>0</v>
      </c>
      <c r="J23" s="687">
        <f>IF(A23=6,IF(D23&lt;=8000,0.0035*D23+15,0.002*D23+27),IF(A23=7,IF(D23&lt;=8000,0.003*D23+19,0.0025*D23+23),IF(A23=8,IF(D23&lt;=8000,0.0025*D23+22,0.0025*D23+22),IF(A23=9,IF(D23&lt;=8000,0.003*D23+18,0.0025*D23+22),IF(A23=10,IF(D23&lt;=7000,0.003*D23+12,0.0045*D23+1.5),IF(A23=51,0.0009*D23+4.1288,IF(A23=52,0.0014*D23+3.0932,IF(A23=53,0.0006*D23+3.3542,VLOOKUP(B23,'Daten Tierhaltung'!$B$7:$G$108,5,FALSE)))))))))</f>
        <v>0</v>
      </c>
      <c r="K23" s="687">
        <f>IF(A23=6,IF(D23&lt;=8000,0.004*D23+110,0.004*D23+110),IF(A23=7,IF(D23&lt;=8000,0.0025*D23+114,0.0045*D23+98),IF(A23=8,IF(D23&lt;=8000,0.007*D23+67,0.004*D23+91),IF(A23=9,IF(D23&lt;=8000,0.006*D23+68,0.0045*D23+80),IF(A23=10,IF(D23&lt;=7000,0.006*D23+54,0.006*D23+54),IF(A23=51,0.0023*D23+3.9271,IF(A23=52,0.0028*D23+3.3915,IF(A23=53,0.0024*D23+3.522,VLOOKUP(B23,'Daten Tierhaltung'!$B$7:$G$108,6,FALSE)))))))))</f>
        <v>0</v>
      </c>
      <c r="L23" s="687" t="str">
        <f>IF(C23="Abgabe an andere Betriebe",E23*I23*(($F23/365*VLOOKUP(B23,'Daten Tierhaltung'!$B$7:$I$108,7,FALSE))+(($G23/365*VLOOKUP(B23,'Daten Tierhaltung'!$B$7:$I$108,8,FALSE)))),"0")</f>
        <v>0</v>
      </c>
      <c r="M23" s="695">
        <f>IF(C23="auf selbst bewirtschaft. Flächen",E23*I23*(($F23/365*VLOOKUP(B23,'Daten Tierhaltung'!$B$7:$I$108,7,FALSE))+(($G23/365*VLOOKUP(B23,'Daten Tierhaltung'!$B$7:$I$108,8,FALSE)))),"0")</f>
        <v>0</v>
      </c>
      <c r="N23" s="682">
        <f>E23*H23/365*VLOOKUP(B23,'Daten Tierhaltung'!$B$7:$I$108,8,FALSE)*I23</f>
        <v>0</v>
      </c>
      <c r="O23" s="689" t="str">
        <f>IF(C23="in eigene Biogasanlage",E23*I23*((0.95*F23/365*VLOOKUP(B23,'Daten Tierhaltung'!$B$7:$I$108,7,FALSE))+((0.95*G23/365*VLOOKUP(B23,'Daten Tierhaltung'!$B$7:$I$108,8,FALSE)))),"0")</f>
        <v>0</v>
      </c>
      <c r="P23" s="687">
        <f>IF(C23="auf selbst bewirtschaft. Flächen",E23*I23*(($F23/365*VLOOKUP(B23,'Daten Tierhaltung'!$B$7:$K$108,9,FALSE))+(($G23/365*VLOOKUP(B23,'Daten Tierhaltung'!$B$7:$K$108,10,FALSE)))),"0")</f>
        <v>0</v>
      </c>
      <c r="Q23" s="687">
        <f t="shared" si="1"/>
        <v>0</v>
      </c>
      <c r="R23" s="687">
        <f t="shared" si="2"/>
        <v>0</v>
      </c>
    </row>
    <row r="24" spans="1:18" x14ac:dyDescent="0.25">
      <c r="A24" s="680">
        <f>VLOOKUP(B24,'Daten Tierhaltung'!$B$7:$C$108,2,FALSE)</f>
        <v>0</v>
      </c>
      <c r="B24" s="685" t="s">
        <v>805</v>
      </c>
      <c r="C24" s="685" t="s">
        <v>1026</v>
      </c>
      <c r="D24" s="1243">
        <v>0</v>
      </c>
      <c r="E24" s="1243">
        <v>0</v>
      </c>
      <c r="F24" s="686">
        <f t="shared" si="3"/>
        <v>365</v>
      </c>
      <c r="G24" s="1243">
        <v>0</v>
      </c>
      <c r="H24" s="1243">
        <v>0</v>
      </c>
      <c r="I24" s="687">
        <f>IF(A24=6,IF(D24&lt;=8000,0.0075*D24+69,0.007*D24+73),IF(A24=7,IF(D24&lt;=8000,0.0075*D24+64,0.0085*D24+56),IF(A24=8,IF(D24&lt;=8000,0.007*D24+61,0.009*D24+44.667),IF(A24=9,IF(D24&lt;=8000,0.0075*D24+55,0.0093*D24+40.833),IF(A24=10,IF(D24&lt;=7000,0.0075*D24+38.5,0.01*D24+21),IF(A24=51,0.0058*D24+7.0627,IF(A24=52,0.0055*D24+6.8356,IF(A24=53,0.0052*D24+6.0136,VLOOKUP(B24,'Daten Tierhaltung'!$B$7:$G$108,4,FALSE)))))))))</f>
        <v>0</v>
      </c>
      <c r="J24" s="687">
        <f>IF(A24=6,IF(D24&lt;=8000,0.0035*D24+15,0.002*D24+27),IF(A24=7,IF(D24&lt;=8000,0.003*D24+19,0.0025*D24+23),IF(A24=8,IF(D24&lt;=8000,0.0025*D24+22,0.0025*D24+22),IF(A24=9,IF(D24&lt;=8000,0.003*D24+18,0.0025*D24+22),IF(A24=10,IF(D24&lt;=7000,0.003*D24+12,0.0045*D24+1.5),IF(A24=51,0.0009*D24+4.1288,IF(A24=52,0.0014*D24+3.0932,IF(A24=53,0.0006*D24+3.3542,VLOOKUP(B24,'Daten Tierhaltung'!$B$7:$G$108,5,FALSE)))))))))</f>
        <v>0</v>
      </c>
      <c r="K24" s="687">
        <f>IF(A24=6,IF(D24&lt;=8000,0.004*D24+110,0.004*D24+110),IF(A24=7,IF(D24&lt;=8000,0.0025*D24+114,0.0045*D24+98),IF(A24=8,IF(D24&lt;=8000,0.007*D24+67,0.004*D24+91),IF(A24=9,IF(D24&lt;=8000,0.006*D24+68,0.0045*D24+80),IF(A24=10,IF(D24&lt;=7000,0.006*D24+54,0.006*D24+54),IF(A24=51,0.0023*D24+3.9271,IF(A24=52,0.0028*D24+3.3915,IF(A24=53,0.0024*D24+3.522,VLOOKUP(B24,'Daten Tierhaltung'!$B$7:$G$108,6,FALSE)))))))))</f>
        <v>0</v>
      </c>
      <c r="L24" s="687" t="str">
        <f>IF(C24="Abgabe an andere Betriebe",E24*I24*(($F24/365*VLOOKUP(B24,'Daten Tierhaltung'!$B$7:$I$108,7,FALSE))+(($G24/365*VLOOKUP(B24,'Daten Tierhaltung'!$B$7:$I$108,8,FALSE)))),"0")</f>
        <v>0</v>
      </c>
      <c r="M24" s="695">
        <f>IF(C24="auf selbst bewirtschaft. Flächen",E24*I24*(($F24/365*VLOOKUP(B24,'Daten Tierhaltung'!$B$7:$I$108,7,FALSE))+(($G24/365*VLOOKUP(B24,'Daten Tierhaltung'!$B$7:$I$108,8,FALSE)))),"0")</f>
        <v>0</v>
      </c>
      <c r="N24" s="682">
        <f>E24*H24/365*VLOOKUP(B24,'Daten Tierhaltung'!$B$7:$I$108,8,FALSE)*I24</f>
        <v>0</v>
      </c>
      <c r="O24" s="689" t="str">
        <f>IF(C24="in eigene Biogasanlage",E24*I24*((0.95*F24/365*VLOOKUP(B24,'Daten Tierhaltung'!$B$7:$I$108,7,FALSE))+((0.95*G24/365*VLOOKUP(B24,'Daten Tierhaltung'!$B$7:$I$108,8,FALSE)))),"0")</f>
        <v>0</v>
      </c>
      <c r="P24" s="687">
        <f>IF(C24="auf selbst bewirtschaft. Flächen",E24*I24*(($F24/365*VLOOKUP(B24,'Daten Tierhaltung'!$B$7:$K$108,9,FALSE))+(($G24/365*VLOOKUP(B24,'Daten Tierhaltung'!$B$7:$K$108,10,FALSE)))),"0")</f>
        <v>0</v>
      </c>
      <c r="Q24" s="687">
        <f t="shared" si="1"/>
        <v>0</v>
      </c>
      <c r="R24" s="687">
        <f t="shared" si="2"/>
        <v>0</v>
      </c>
    </row>
    <row r="25" spans="1:18" x14ac:dyDescent="0.25">
      <c r="A25" s="680">
        <f>VLOOKUP(B25,'Daten Tierhaltung'!$B$7:$C$108,2,FALSE)</f>
        <v>0</v>
      </c>
      <c r="B25" s="685" t="s">
        <v>805</v>
      </c>
      <c r="C25" s="685" t="s">
        <v>1026</v>
      </c>
      <c r="D25" s="1243">
        <v>0</v>
      </c>
      <c r="E25" s="1243">
        <v>0</v>
      </c>
      <c r="F25" s="686">
        <f t="shared" si="3"/>
        <v>365</v>
      </c>
      <c r="G25" s="1243">
        <v>0</v>
      </c>
      <c r="H25" s="1243">
        <v>0</v>
      </c>
      <c r="I25" s="687">
        <f>IF(A25=6,IF(D25&lt;=8000,0.0075*D25+69,0.007*D25+73),IF(A25=7,IF(D25&lt;=8000,0.0075*D25+64,0.0085*D25+56),IF(A25=8,IF(D25&lt;=8000,0.007*D25+61,0.009*D25+44.667),IF(A25=9,IF(D25&lt;=8000,0.0075*D25+55,0.0093*D25+40.833),IF(A25=10,IF(D25&lt;=7000,0.0075*D25+38.5,0.01*D25+21),IF(A25=51,0.0058*D25+7.0627,IF(A25=52,0.0055*D25+6.8356,IF(A25=53,0.0052*D25+6.0136,VLOOKUP(B25,'Daten Tierhaltung'!$B$7:$G$108,4,FALSE)))))))))</f>
        <v>0</v>
      </c>
      <c r="J25" s="687">
        <f>IF(A25=6,IF(D25&lt;=8000,0.0035*D25+15,0.002*D25+27),IF(A25=7,IF(D25&lt;=8000,0.003*D25+19,0.0025*D25+23),IF(A25=8,IF(D25&lt;=8000,0.0025*D25+22,0.0025*D25+22),IF(A25=9,IF(D25&lt;=8000,0.003*D25+18,0.0025*D25+22),IF(A25=10,IF(D25&lt;=7000,0.003*D25+12,0.0045*D25+1.5),IF(A25=51,0.0009*D25+4.1288,IF(A25=52,0.0014*D25+3.0932,IF(A25=53,0.0006*D25+3.3542,VLOOKUP(B25,'Daten Tierhaltung'!$B$7:$G$108,5,FALSE)))))))))</f>
        <v>0</v>
      </c>
      <c r="K25" s="687">
        <f>IF(A25=6,IF(D25&lt;=8000,0.004*D25+110,0.004*D25+110),IF(A25=7,IF(D25&lt;=8000,0.0025*D25+114,0.0045*D25+98),IF(A25=8,IF(D25&lt;=8000,0.007*D25+67,0.004*D25+91),IF(A25=9,IF(D25&lt;=8000,0.006*D25+68,0.0045*D25+80),IF(A25=10,IF(D25&lt;=7000,0.006*D25+54,0.006*D25+54),IF(A25=51,0.0023*D25+3.9271,IF(A25=52,0.0028*D25+3.3915,IF(A25=53,0.0024*D25+3.522,VLOOKUP(B25,'Daten Tierhaltung'!$B$7:$G$108,6,FALSE)))))))))</f>
        <v>0</v>
      </c>
      <c r="L25" s="687" t="str">
        <f>IF(C25="Abgabe an andere Betriebe",E25*I25*(($F25/365*VLOOKUP(B25,'Daten Tierhaltung'!$B$7:$I$108,7,FALSE))+(($G25/365*VLOOKUP(B25,'Daten Tierhaltung'!$B$7:$I$108,8,FALSE)))),"0")</f>
        <v>0</v>
      </c>
      <c r="M25" s="695">
        <f>IF(C25="auf selbst bewirtschaft. Flächen",E25*I25*(($F25/365*VLOOKUP(B25,'Daten Tierhaltung'!$B$7:$I$108,7,FALSE))+(($G25/365*VLOOKUP(B25,'Daten Tierhaltung'!$B$7:$I$108,8,FALSE)))),"0")</f>
        <v>0</v>
      </c>
      <c r="N25" s="682">
        <f>E25*H25/365*VLOOKUP(B25,'Daten Tierhaltung'!$B$7:$I$108,8,FALSE)*I25</f>
        <v>0</v>
      </c>
      <c r="O25" s="689" t="str">
        <f>IF(C25="in eigene Biogasanlage",E25*I25*((0.95*F25/365*VLOOKUP(B25,'Daten Tierhaltung'!$B$7:$I$108,7,FALSE))+((0.95*G25/365*VLOOKUP(B25,'Daten Tierhaltung'!$B$7:$I$108,8,FALSE)))),"0")</f>
        <v>0</v>
      </c>
      <c r="P25" s="687">
        <f>IF(C25="auf selbst bewirtschaft. Flächen",E25*I25*(($F25/365*VLOOKUP(B25,'Daten Tierhaltung'!$B$7:$K$108,9,FALSE))+(($G25/365*VLOOKUP(B25,'Daten Tierhaltung'!$B$7:$K$108,10,FALSE)))),"0")</f>
        <v>0</v>
      </c>
      <c r="Q25" s="687">
        <f t="shared" si="1"/>
        <v>0</v>
      </c>
      <c r="R25" s="687">
        <f t="shared" si="2"/>
        <v>0</v>
      </c>
    </row>
    <row r="26" spans="1:18" x14ac:dyDescent="0.25">
      <c r="A26" s="680">
        <f>VLOOKUP(B26,'Daten Tierhaltung'!$B$7:$C$108,2,FALSE)</f>
        <v>0</v>
      </c>
      <c r="B26" s="685" t="s">
        <v>805</v>
      </c>
      <c r="C26" s="685" t="s">
        <v>1026</v>
      </c>
      <c r="D26" s="1243">
        <v>0</v>
      </c>
      <c r="E26" s="1243">
        <v>0</v>
      </c>
      <c r="F26" s="686">
        <f t="shared" si="3"/>
        <v>365</v>
      </c>
      <c r="G26" s="1243">
        <v>0</v>
      </c>
      <c r="H26" s="1243">
        <v>0</v>
      </c>
      <c r="I26" s="687">
        <f>IF(A26=6,IF(D26&lt;=8000,0.0075*D26+69,0.007*D26+73),IF(A26=7,IF(D26&lt;=8000,0.0075*D26+64,0.0085*D26+56),IF(A26=8,IF(D26&lt;=8000,0.007*D26+61,0.009*D26+44.667),IF(A26=9,IF(D26&lt;=8000,0.0075*D26+55,0.0093*D26+40.833),IF(A26=10,IF(D26&lt;=7000,0.0075*D26+38.5,0.01*D26+21),IF(A26=51,0.0058*D26+7.0627,IF(A26=52,0.0055*D26+6.8356,IF(A26=53,0.0052*D26+6.0136,VLOOKUP(B26,'Daten Tierhaltung'!$B$7:$G$108,4,FALSE)))))))))</f>
        <v>0</v>
      </c>
      <c r="J26" s="687">
        <f>IF(A26=6,IF(D26&lt;=8000,0.0035*D26+15,0.002*D26+27),IF(A26=7,IF(D26&lt;=8000,0.003*D26+19,0.0025*D26+23),IF(A26=8,IF(D26&lt;=8000,0.0025*D26+22,0.0025*D26+22),IF(A26=9,IF(D26&lt;=8000,0.003*D26+18,0.0025*D26+22),IF(A26=10,IF(D26&lt;=7000,0.003*D26+12,0.0045*D26+1.5),IF(A26=51,0.0009*D26+4.1288,IF(A26=52,0.0014*D26+3.0932,IF(A26=53,0.0006*D26+3.3542,VLOOKUP(B26,'Daten Tierhaltung'!$B$7:$G$108,5,FALSE)))))))))</f>
        <v>0</v>
      </c>
      <c r="K26" s="687">
        <f>IF(A26=6,IF(D26&lt;=8000,0.004*D26+110,0.004*D26+110),IF(A26=7,IF(D26&lt;=8000,0.0025*D26+114,0.0045*D26+98),IF(A26=8,IF(D26&lt;=8000,0.007*D26+67,0.004*D26+91),IF(A26=9,IF(D26&lt;=8000,0.006*D26+68,0.0045*D26+80),IF(A26=10,IF(D26&lt;=7000,0.006*D26+54,0.006*D26+54),IF(A26=51,0.0023*D26+3.9271,IF(A26=52,0.0028*D26+3.3915,IF(A26=53,0.0024*D26+3.522,VLOOKUP(B26,'Daten Tierhaltung'!$B$7:$G$108,6,FALSE)))))))))</f>
        <v>0</v>
      </c>
      <c r="L26" s="687" t="str">
        <f>IF(C26="Abgabe an andere Betriebe",E26*I26*(($F26/365*VLOOKUP(B26,'Daten Tierhaltung'!$B$7:$I$108,7,FALSE))+(($G26/365*VLOOKUP(B26,'Daten Tierhaltung'!$B$7:$I$108,8,FALSE)))),"0")</f>
        <v>0</v>
      </c>
      <c r="M26" s="695">
        <f>IF(C26="auf selbst bewirtschaft. Flächen",E26*I26*(($F26/365*VLOOKUP(B26,'Daten Tierhaltung'!$B$7:$I$108,7,FALSE))+(($G26/365*VLOOKUP(B26,'Daten Tierhaltung'!$B$7:$I$108,8,FALSE)))),"0")</f>
        <v>0</v>
      </c>
      <c r="N26" s="682">
        <f>E26*H26/365*VLOOKUP(B26,'Daten Tierhaltung'!$B$7:$I$108,8,FALSE)*I26</f>
        <v>0</v>
      </c>
      <c r="O26" s="689" t="str">
        <f>IF(C26="in eigene Biogasanlage",E26*I26*((0.95*F26/365*VLOOKUP(B26,'Daten Tierhaltung'!$B$7:$I$108,7,FALSE))+((0.95*G26/365*VLOOKUP(B26,'Daten Tierhaltung'!$B$7:$I$108,8,FALSE)))),"0")</f>
        <v>0</v>
      </c>
      <c r="P26" s="687">
        <f>IF(C26="auf selbst bewirtschaft. Flächen",E26*I26*(($F26/365*VLOOKUP(B26,'Daten Tierhaltung'!$B$7:$K$108,9,FALSE))+(($G26/365*VLOOKUP(B26,'Daten Tierhaltung'!$B$7:$K$108,10,FALSE)))),"0")</f>
        <v>0</v>
      </c>
      <c r="Q26" s="687">
        <f t="shared" si="1"/>
        <v>0</v>
      </c>
      <c r="R26" s="687">
        <f t="shared" si="2"/>
        <v>0</v>
      </c>
    </row>
    <row r="27" spans="1:18" x14ac:dyDescent="0.25">
      <c r="A27" s="680">
        <f>VLOOKUP(B27,'Daten Tierhaltung'!$B$7:$C$108,2,FALSE)</f>
        <v>0</v>
      </c>
      <c r="B27" s="685" t="s">
        <v>805</v>
      </c>
      <c r="C27" s="685" t="s">
        <v>1026</v>
      </c>
      <c r="D27" s="1243">
        <v>0</v>
      </c>
      <c r="E27" s="1243">
        <v>0</v>
      </c>
      <c r="F27" s="686">
        <f t="shared" si="3"/>
        <v>365</v>
      </c>
      <c r="G27" s="1243">
        <v>0</v>
      </c>
      <c r="H27" s="1243">
        <v>0</v>
      </c>
      <c r="I27" s="687">
        <f>IF(A27=6,IF(D27&lt;=8000,0.0075*D27+69,0.007*D27+73),IF(A27=7,IF(D27&lt;=8000,0.0075*D27+64,0.0085*D27+56),IF(A27=8,IF(D27&lt;=8000,0.007*D27+61,0.009*D27+44.667),IF(A27=9,IF(D27&lt;=8000,0.0075*D27+55,0.0093*D27+40.833),IF(A27=10,IF(D27&lt;=7000,0.0075*D27+38.5,0.01*D27+21),IF(A27=51,0.0058*D27+7.0627,IF(A27=52,0.0055*D27+6.8356,IF(A27=53,0.0052*D27+6.0136,VLOOKUP(B27,'Daten Tierhaltung'!$B$7:$G$108,4,FALSE)))))))))</f>
        <v>0</v>
      </c>
      <c r="J27" s="687">
        <f>IF(A27=6,IF(D27&lt;=8000,0.0035*D27+15,0.002*D27+27),IF(A27=7,IF(D27&lt;=8000,0.003*D27+19,0.0025*D27+23),IF(A27=8,IF(D27&lt;=8000,0.0025*D27+22,0.0025*D27+22),IF(A27=9,IF(D27&lt;=8000,0.003*D27+18,0.0025*D27+22),IF(A27=10,IF(D27&lt;=7000,0.003*D27+12,0.0045*D27+1.5),IF(A27=51,0.0009*D27+4.1288,IF(A27=52,0.0014*D27+3.0932,IF(A27=53,0.0006*D27+3.3542,VLOOKUP(B27,'Daten Tierhaltung'!$B$7:$G$108,5,FALSE)))))))))</f>
        <v>0</v>
      </c>
      <c r="K27" s="687">
        <f>IF(A27=6,IF(D27&lt;=8000,0.004*D27+110,0.004*D27+110),IF(A27=7,IF(D27&lt;=8000,0.0025*D27+114,0.0045*D27+98),IF(A27=8,IF(D27&lt;=8000,0.007*D27+67,0.004*D27+91),IF(A27=9,IF(D27&lt;=8000,0.006*D27+68,0.0045*D27+80),IF(A27=10,IF(D27&lt;=7000,0.006*D27+54,0.006*D27+54),IF(A27=51,0.0023*D27+3.9271,IF(A27=52,0.0028*D27+3.3915,IF(A27=53,0.0024*D27+3.522,VLOOKUP(B27,'Daten Tierhaltung'!$B$7:$G$108,6,FALSE)))))))))</f>
        <v>0</v>
      </c>
      <c r="L27" s="687" t="str">
        <f>IF(C27="Abgabe an andere Betriebe",E27*I27*(($F27/365*VLOOKUP(B27,'Daten Tierhaltung'!$B$7:$I$108,7,FALSE))+(($G27/365*VLOOKUP(B27,'Daten Tierhaltung'!$B$7:$I$108,8,FALSE)))),"0")</f>
        <v>0</v>
      </c>
      <c r="M27" s="695">
        <f>IF(C27="auf selbst bewirtschaft. Flächen",E27*I27*(($F27/365*VLOOKUP(B27,'Daten Tierhaltung'!$B$7:$I$108,7,FALSE))+(($G27/365*VLOOKUP(B27,'Daten Tierhaltung'!$B$7:$I$108,8,FALSE)))),"0")</f>
        <v>0</v>
      </c>
      <c r="N27" s="682">
        <f>E27*H27/365*VLOOKUP(B27,'Daten Tierhaltung'!$B$7:$I$108,8,FALSE)*I27</f>
        <v>0</v>
      </c>
      <c r="O27" s="689" t="str">
        <f>IF(C27="in eigene Biogasanlage",E27*I27*((0.95*F27/365*VLOOKUP(B27,'Daten Tierhaltung'!$B$7:$I$108,7,FALSE))+((0.95*G27/365*VLOOKUP(B27,'Daten Tierhaltung'!$B$7:$I$108,8,FALSE)))),"0")</f>
        <v>0</v>
      </c>
      <c r="P27" s="687">
        <f>IF(C27="auf selbst bewirtschaft. Flächen",E27*I27*(($F27/365*VLOOKUP(B27,'Daten Tierhaltung'!$B$7:$K$108,9,FALSE))+(($G27/365*VLOOKUP(B27,'Daten Tierhaltung'!$B$7:$K$108,10,FALSE)))),"0")</f>
        <v>0</v>
      </c>
      <c r="Q27" s="687">
        <f t="shared" si="1"/>
        <v>0</v>
      </c>
      <c r="R27" s="687">
        <f t="shared" si="2"/>
        <v>0</v>
      </c>
    </row>
    <row r="28" spans="1:18" x14ac:dyDescent="0.25">
      <c r="A28" s="680">
        <f>VLOOKUP(B28,'Daten Tierhaltung'!$B$7:$C$108,2,FALSE)</f>
        <v>0</v>
      </c>
      <c r="B28" s="685" t="s">
        <v>805</v>
      </c>
      <c r="C28" s="685" t="s">
        <v>1026</v>
      </c>
      <c r="D28" s="1243">
        <v>0</v>
      </c>
      <c r="E28" s="1243">
        <v>0</v>
      </c>
      <c r="F28" s="686">
        <f t="shared" si="3"/>
        <v>365</v>
      </c>
      <c r="G28" s="1243">
        <v>0</v>
      </c>
      <c r="H28" s="1243">
        <v>0</v>
      </c>
      <c r="I28" s="687">
        <f>IF(A28=6,IF(D28&lt;=8000,0.0075*D28+69,0.007*D28+73),IF(A28=7,IF(D28&lt;=8000,0.0075*D28+64,0.0085*D28+56),IF(A28=8,IF(D28&lt;=8000,0.007*D28+61,0.009*D28+44.667),IF(A28=9,IF(D28&lt;=8000,0.0075*D28+55,0.0093*D28+40.833),IF(A28=10,IF(D28&lt;=7000,0.0075*D28+38.5,0.01*D28+21),IF(A28=51,0.0058*D28+7.0627,IF(A28=52,0.0055*D28+6.8356,IF(A28=53,0.0052*D28+6.0136,VLOOKUP(B28,'Daten Tierhaltung'!$B$7:$G$108,4,FALSE)))))))))</f>
        <v>0</v>
      </c>
      <c r="J28" s="687">
        <f>IF(A28=6,IF(D28&lt;=8000,0.0035*D28+15,0.002*D28+27),IF(A28=7,IF(D28&lt;=8000,0.003*D28+19,0.0025*D28+23),IF(A28=8,IF(D28&lt;=8000,0.0025*D28+22,0.0025*D28+22),IF(A28=9,IF(D28&lt;=8000,0.003*D28+18,0.0025*D28+22),IF(A28=10,IF(D28&lt;=7000,0.003*D28+12,0.0045*D28+1.5),IF(A28=51,0.0009*D28+4.1288,IF(A28=52,0.0014*D28+3.0932,IF(A28=53,0.0006*D28+3.3542,VLOOKUP(B28,'Daten Tierhaltung'!$B$7:$G$108,5,FALSE)))))))))</f>
        <v>0</v>
      </c>
      <c r="K28" s="687">
        <f>IF(A28=6,IF(D28&lt;=8000,0.004*D28+110,0.004*D28+110),IF(A28=7,IF(D28&lt;=8000,0.0025*D28+114,0.0045*D28+98),IF(A28=8,IF(D28&lt;=8000,0.007*D28+67,0.004*D28+91),IF(A28=9,IF(D28&lt;=8000,0.006*D28+68,0.0045*D28+80),IF(A28=10,IF(D28&lt;=7000,0.006*D28+54,0.006*D28+54),IF(A28=51,0.0023*D28+3.9271,IF(A28=52,0.0028*D28+3.3915,IF(A28=53,0.0024*D28+3.522,VLOOKUP(B28,'Daten Tierhaltung'!$B$7:$G$108,6,FALSE)))))))))</f>
        <v>0</v>
      </c>
      <c r="L28" s="687" t="str">
        <f>IF(C28="Abgabe an andere Betriebe",E28*I28*(($F28/365*VLOOKUP(B28,'Daten Tierhaltung'!$B$7:$I$108,7,FALSE))+(($G28/365*VLOOKUP(B28,'Daten Tierhaltung'!$B$7:$I$108,8,FALSE)))),"0")</f>
        <v>0</v>
      </c>
      <c r="M28" s="695">
        <f>IF(C28="auf selbst bewirtschaft. Flächen",E28*I28*(($F28/365*VLOOKUP(B28,'Daten Tierhaltung'!$B$7:$I$108,7,FALSE))+(($G28/365*VLOOKUP(B28,'Daten Tierhaltung'!$B$7:$I$108,8,FALSE)))),"0")</f>
        <v>0</v>
      </c>
      <c r="N28" s="682">
        <f>E28*H28/365*VLOOKUP(B28,'Daten Tierhaltung'!$B$7:$I$108,8,FALSE)*I28</f>
        <v>0</v>
      </c>
      <c r="O28" s="689" t="str">
        <f>IF(C28="in eigene Biogasanlage",E28*I28*((0.95*F28/365*VLOOKUP(B28,'Daten Tierhaltung'!$B$7:$I$108,7,FALSE))+((0.95*G28/365*VLOOKUP(B28,'Daten Tierhaltung'!$B$7:$I$108,8,FALSE)))),"0")</f>
        <v>0</v>
      </c>
      <c r="P28" s="687">
        <f>IF(C28="auf selbst bewirtschaft. Flächen",E28*I28*(($F28/365*VLOOKUP(B28,'Daten Tierhaltung'!$B$7:$K$108,9,FALSE))+(($G28/365*VLOOKUP(B28,'Daten Tierhaltung'!$B$7:$K$108,10,FALSE)))),"0")</f>
        <v>0</v>
      </c>
      <c r="Q28" s="687">
        <f t="shared" si="1"/>
        <v>0</v>
      </c>
      <c r="R28" s="687">
        <f t="shared" si="2"/>
        <v>0</v>
      </c>
    </row>
    <row r="29" spans="1:18" x14ac:dyDescent="0.25">
      <c r="A29" s="680">
        <f>VLOOKUP(B29,'Daten Tierhaltung'!$B$7:$C$108,2,FALSE)</f>
        <v>0</v>
      </c>
      <c r="B29" s="685" t="s">
        <v>805</v>
      </c>
      <c r="C29" s="685" t="s">
        <v>1026</v>
      </c>
      <c r="D29" s="1243">
        <v>0</v>
      </c>
      <c r="E29" s="1243">
        <v>0</v>
      </c>
      <c r="F29" s="686">
        <f t="shared" si="3"/>
        <v>365</v>
      </c>
      <c r="G29" s="1243">
        <v>0</v>
      </c>
      <c r="H29" s="1243">
        <v>0</v>
      </c>
      <c r="I29" s="687">
        <f>IF(A29=6,IF(D29&lt;=8000,0.0075*D29+69,0.007*D29+73),IF(A29=7,IF(D29&lt;=8000,0.0075*D29+64,0.0085*D29+56),IF(A29=8,IF(D29&lt;=8000,0.007*D29+61,0.009*D29+44.667),IF(A29=9,IF(D29&lt;=8000,0.0075*D29+55,0.0093*D29+40.833),IF(A29=10,IF(D29&lt;=7000,0.0075*D29+38.5,0.01*D29+21),IF(A29=51,0.0058*D29+7.0627,IF(A29=52,0.0055*D29+6.8356,IF(A29=53,0.0052*D29+6.0136,VLOOKUP(B29,'Daten Tierhaltung'!$B$7:$G$108,4,FALSE)))))))))</f>
        <v>0</v>
      </c>
      <c r="J29" s="687">
        <f>IF(A29=6,IF(D29&lt;=8000,0.0035*D29+15,0.002*D29+27),IF(A29=7,IF(D29&lt;=8000,0.003*D29+19,0.0025*D29+23),IF(A29=8,IF(D29&lt;=8000,0.0025*D29+22,0.0025*D29+22),IF(A29=9,IF(D29&lt;=8000,0.003*D29+18,0.0025*D29+22),IF(A29=10,IF(D29&lt;=7000,0.003*D29+12,0.0045*D29+1.5),IF(A29=51,0.0009*D29+4.1288,IF(A29=52,0.0014*D29+3.0932,IF(A29=53,0.0006*D29+3.3542,VLOOKUP(B29,'Daten Tierhaltung'!$B$7:$G$108,5,FALSE)))))))))</f>
        <v>0</v>
      </c>
      <c r="K29" s="687">
        <f>IF(A29=6,IF(D29&lt;=8000,0.004*D29+110,0.004*D29+110),IF(A29=7,IF(D29&lt;=8000,0.0025*D29+114,0.0045*D29+98),IF(A29=8,IF(D29&lt;=8000,0.007*D29+67,0.004*D29+91),IF(A29=9,IF(D29&lt;=8000,0.006*D29+68,0.0045*D29+80),IF(A29=10,IF(D29&lt;=7000,0.006*D29+54,0.006*D29+54),IF(A29=51,0.0023*D29+3.9271,IF(A29=52,0.0028*D29+3.3915,IF(A29=53,0.0024*D29+3.522,VLOOKUP(B29,'Daten Tierhaltung'!$B$7:$G$108,6,FALSE)))))))))</f>
        <v>0</v>
      </c>
      <c r="L29" s="687" t="str">
        <f>IF(C29="Abgabe an andere Betriebe",E29*I29*(($F29/365*VLOOKUP(B29,'Daten Tierhaltung'!$B$7:$I$108,7,FALSE))+(($G29/365*VLOOKUP(B29,'Daten Tierhaltung'!$B$7:$I$108,8,FALSE)))),"0")</f>
        <v>0</v>
      </c>
      <c r="M29" s="695">
        <f>IF(C29="auf selbst bewirtschaft. Flächen",E29*I29*(($F29/365*VLOOKUP(B29,'Daten Tierhaltung'!$B$7:$I$108,7,FALSE))+(($G29/365*VLOOKUP(B29,'Daten Tierhaltung'!$B$7:$I$108,8,FALSE)))),"0")</f>
        <v>0</v>
      </c>
      <c r="N29" s="682">
        <f>E29*H29/365*VLOOKUP(B29,'Daten Tierhaltung'!$B$7:$I$108,8,FALSE)*I29</f>
        <v>0</v>
      </c>
      <c r="O29" s="689" t="str">
        <f>IF(C29="in eigene Biogasanlage",E29*I29*((0.95*F29/365*VLOOKUP(B29,'Daten Tierhaltung'!$B$7:$I$108,7,FALSE))+((0.95*G29/365*VLOOKUP(B29,'Daten Tierhaltung'!$B$7:$I$108,8,FALSE)))),"0")</f>
        <v>0</v>
      </c>
      <c r="P29" s="687">
        <f>IF(C29="auf selbst bewirtschaft. Flächen",E29*I29*(($F29/365*VLOOKUP(B29,'Daten Tierhaltung'!$B$7:$K$108,9,FALSE))+(($G29/365*VLOOKUP(B29,'Daten Tierhaltung'!$B$7:$K$108,10,FALSE)))),"0")</f>
        <v>0</v>
      </c>
      <c r="Q29" s="687">
        <f t="shared" si="1"/>
        <v>0</v>
      </c>
      <c r="R29" s="687">
        <f t="shared" si="2"/>
        <v>0</v>
      </c>
    </row>
    <row r="30" spans="1:18" x14ac:dyDescent="0.25">
      <c r="A30" s="680">
        <f>VLOOKUP(B30,'Daten Tierhaltung'!$B$7:$C$108,2,FALSE)</f>
        <v>0</v>
      </c>
      <c r="B30" s="685" t="s">
        <v>805</v>
      </c>
      <c r="C30" s="685" t="s">
        <v>1026</v>
      </c>
      <c r="D30" s="1243">
        <v>0</v>
      </c>
      <c r="E30" s="1243">
        <v>0</v>
      </c>
      <c r="F30" s="686">
        <f t="shared" si="3"/>
        <v>365</v>
      </c>
      <c r="G30" s="1243">
        <v>0</v>
      </c>
      <c r="H30" s="1243">
        <v>0</v>
      </c>
      <c r="I30" s="687">
        <f>IF(A30=6,IF(D30&lt;=8000,0.0075*D30+69,0.007*D30+73),IF(A30=7,IF(D30&lt;=8000,0.0075*D30+64,0.0085*D30+56),IF(A30=8,IF(D30&lt;=8000,0.007*D30+61,0.009*D30+44.667),IF(A30=9,IF(D30&lt;=8000,0.0075*D30+55,0.0093*D30+40.833),IF(A30=10,IF(D30&lt;=7000,0.0075*D30+38.5,0.01*D30+21),IF(A30=51,0.0058*D30+7.0627,IF(A30=52,0.0055*D30+6.8356,IF(A30=53,0.0052*D30+6.0136,VLOOKUP(B30,'Daten Tierhaltung'!$B$7:$G$108,4,FALSE)))))))))</f>
        <v>0</v>
      </c>
      <c r="J30" s="687">
        <f>IF(A30=6,IF(D30&lt;=8000,0.0035*D30+15,0.002*D30+27),IF(A30=7,IF(D30&lt;=8000,0.003*D30+19,0.0025*D30+23),IF(A30=8,IF(D30&lt;=8000,0.0025*D30+22,0.0025*D30+22),IF(A30=9,IF(D30&lt;=8000,0.003*D30+18,0.0025*D30+22),IF(A30=10,IF(D30&lt;=7000,0.003*D30+12,0.0045*D30+1.5),IF(A30=51,0.0009*D30+4.1288,IF(A30=52,0.0014*D30+3.0932,IF(A30=53,0.0006*D30+3.3542,VLOOKUP(B30,'Daten Tierhaltung'!$B$7:$G$108,5,FALSE)))))))))</f>
        <v>0</v>
      </c>
      <c r="K30" s="687">
        <f>IF(A30=6,IF(D30&lt;=8000,0.004*D30+110,0.004*D30+110),IF(A30=7,IF(D30&lt;=8000,0.0025*D30+114,0.0045*D30+98),IF(A30=8,IF(D30&lt;=8000,0.007*D30+67,0.004*D30+91),IF(A30=9,IF(D30&lt;=8000,0.006*D30+68,0.0045*D30+80),IF(A30=10,IF(D30&lt;=7000,0.006*D30+54,0.006*D30+54),IF(A30=51,0.0023*D30+3.9271,IF(A30=52,0.0028*D30+3.3915,IF(A30=53,0.0024*D30+3.522,VLOOKUP(B30,'Daten Tierhaltung'!$B$7:$G$108,6,FALSE)))))))))</f>
        <v>0</v>
      </c>
      <c r="L30" s="687" t="str">
        <f>IF(C30="Abgabe an andere Betriebe",E30*I30*(($F30/365*VLOOKUP(B30,'Daten Tierhaltung'!$B$7:$I$108,7,FALSE))+(($G30/365*VLOOKUP(B30,'Daten Tierhaltung'!$B$7:$I$108,8,FALSE)))),"0")</f>
        <v>0</v>
      </c>
      <c r="M30" s="695">
        <f>IF(C30="auf selbst bewirtschaft. Flächen",E30*I30*(($F30/365*VLOOKUP(B30,'Daten Tierhaltung'!$B$7:$I$108,7,FALSE))+(($G30/365*VLOOKUP(B30,'Daten Tierhaltung'!$B$7:$I$108,8,FALSE)))),"0")</f>
        <v>0</v>
      </c>
      <c r="N30" s="682">
        <f>E30*H30/365*VLOOKUP(B30,'Daten Tierhaltung'!$B$7:$I$108,8,FALSE)*I30</f>
        <v>0</v>
      </c>
      <c r="O30" s="689" t="str">
        <f>IF(C30="in eigene Biogasanlage",E30*I30*((0.95*F30/365*VLOOKUP(B30,'Daten Tierhaltung'!$B$7:$I$108,7,FALSE))+((0.95*G30/365*VLOOKUP(B30,'Daten Tierhaltung'!$B$7:$I$108,8,FALSE)))),"0")</f>
        <v>0</v>
      </c>
      <c r="P30" s="687">
        <f>IF(C30="auf selbst bewirtschaft. Flächen",E30*I30*(($F30/365*VLOOKUP(B30,'Daten Tierhaltung'!$B$7:$K$108,9,FALSE))+(($G30/365*VLOOKUP(B30,'Daten Tierhaltung'!$B$7:$K$108,10,FALSE)))),"0")</f>
        <v>0</v>
      </c>
      <c r="Q30" s="687">
        <f t="shared" si="1"/>
        <v>0</v>
      </c>
      <c r="R30" s="687">
        <f t="shared" si="2"/>
        <v>0</v>
      </c>
    </row>
    <row r="31" spans="1:18" x14ac:dyDescent="0.25">
      <c r="A31" s="680">
        <f>VLOOKUP(B31,'Daten Tierhaltung'!$B$7:$C$108,2,FALSE)</f>
        <v>0</v>
      </c>
      <c r="B31" s="685" t="s">
        <v>805</v>
      </c>
      <c r="C31" s="685" t="s">
        <v>1026</v>
      </c>
      <c r="D31" s="1243">
        <v>0</v>
      </c>
      <c r="E31" s="1243">
        <v>0</v>
      </c>
      <c r="F31" s="686">
        <f t="shared" si="3"/>
        <v>365</v>
      </c>
      <c r="G31" s="1243">
        <v>0</v>
      </c>
      <c r="H31" s="1243">
        <v>0</v>
      </c>
      <c r="I31" s="687">
        <f>IF(A31=6,IF(D31&lt;=8000,0.0075*D31+69,0.007*D31+73),IF(A31=7,IF(D31&lt;=8000,0.0075*D31+64,0.0085*D31+56),IF(A31=8,IF(D31&lt;=8000,0.007*D31+61,0.009*D31+44.667),IF(A31=9,IF(D31&lt;=8000,0.0075*D31+55,0.0093*D31+40.833),IF(A31=10,IF(D31&lt;=7000,0.0075*D31+38.5,0.01*D31+21),IF(A31=51,0.0058*D31+7.0627,IF(A31=52,0.0055*D31+6.8356,IF(A31=53,0.0052*D31+6.0136,VLOOKUP(B31,'Daten Tierhaltung'!$B$7:$G$108,4,FALSE)))))))))</f>
        <v>0</v>
      </c>
      <c r="J31" s="687">
        <f>IF(A31=6,IF(D31&lt;=8000,0.0035*D31+15,0.002*D31+27),IF(A31=7,IF(D31&lt;=8000,0.003*D31+19,0.0025*D31+23),IF(A31=8,IF(D31&lt;=8000,0.0025*D31+22,0.0025*D31+22),IF(A31=9,IF(D31&lt;=8000,0.003*D31+18,0.0025*D31+22),IF(A31=10,IF(D31&lt;=7000,0.003*D31+12,0.0045*D31+1.5),IF(A31=51,0.0009*D31+4.1288,IF(A31=52,0.0014*D31+3.0932,IF(A31=53,0.0006*D31+3.3542,VLOOKUP(B31,'Daten Tierhaltung'!$B$7:$G$108,5,FALSE)))))))))</f>
        <v>0</v>
      </c>
      <c r="K31" s="687">
        <f>IF(A31=6,IF(D31&lt;=8000,0.004*D31+110,0.004*D31+110),IF(A31=7,IF(D31&lt;=8000,0.0025*D31+114,0.0045*D31+98),IF(A31=8,IF(D31&lt;=8000,0.007*D31+67,0.004*D31+91),IF(A31=9,IF(D31&lt;=8000,0.006*D31+68,0.0045*D31+80),IF(A31=10,IF(D31&lt;=7000,0.006*D31+54,0.006*D31+54),IF(A31=51,0.0023*D31+3.9271,IF(A31=52,0.0028*D31+3.3915,IF(A31=53,0.0024*D31+3.522,VLOOKUP(B31,'Daten Tierhaltung'!$B$7:$G$108,6,FALSE)))))))))</f>
        <v>0</v>
      </c>
      <c r="L31" s="687" t="str">
        <f>IF(C31="Abgabe an andere Betriebe",E31*I31*(($F31/365*VLOOKUP(B31,'Daten Tierhaltung'!$B$7:$I$108,7,FALSE))+(($G31/365*VLOOKUP(B31,'Daten Tierhaltung'!$B$7:$I$108,8,FALSE)))),"0")</f>
        <v>0</v>
      </c>
      <c r="M31" s="695">
        <f>IF(C31="auf selbst bewirtschaft. Flächen",E31*I31*(($F31/365*VLOOKUP(B31,'Daten Tierhaltung'!$B$7:$I$108,7,FALSE))+(($G31/365*VLOOKUP(B31,'Daten Tierhaltung'!$B$7:$I$108,8,FALSE)))),"0")</f>
        <v>0</v>
      </c>
      <c r="N31" s="682">
        <f>E31*H31/365*VLOOKUP(B31,'Daten Tierhaltung'!$B$7:$I$108,8,FALSE)*I31</f>
        <v>0</v>
      </c>
      <c r="O31" s="689" t="str">
        <f>IF(C31="in eigene Biogasanlage",E31*I31*((0.95*F31/365*VLOOKUP(B31,'Daten Tierhaltung'!$B$7:$I$108,7,FALSE))+((0.95*G31/365*VLOOKUP(B31,'Daten Tierhaltung'!$B$7:$I$108,8,FALSE)))),"0")</f>
        <v>0</v>
      </c>
      <c r="P31" s="687">
        <f>IF(C31="auf selbst bewirtschaft. Flächen",E31*I31*(($F31/365*VLOOKUP(B31,'Daten Tierhaltung'!$B$7:$K$108,9,FALSE))+(($G31/365*VLOOKUP(B31,'Daten Tierhaltung'!$B$7:$K$108,10,FALSE)))),"0")</f>
        <v>0</v>
      </c>
      <c r="Q31" s="687">
        <f t="shared" si="1"/>
        <v>0</v>
      </c>
      <c r="R31" s="687">
        <f t="shared" si="2"/>
        <v>0</v>
      </c>
    </row>
    <row r="32" spans="1:18" x14ac:dyDescent="0.25">
      <c r="A32" s="680">
        <f>VLOOKUP(B32,'Daten Tierhaltung'!$B$7:$C$108,2,FALSE)</f>
        <v>0</v>
      </c>
      <c r="B32" s="685" t="s">
        <v>805</v>
      </c>
      <c r="C32" s="685" t="s">
        <v>1026</v>
      </c>
      <c r="D32" s="1243">
        <v>0</v>
      </c>
      <c r="E32" s="1243">
        <v>0</v>
      </c>
      <c r="F32" s="686">
        <f t="shared" si="3"/>
        <v>365</v>
      </c>
      <c r="G32" s="1243">
        <v>0</v>
      </c>
      <c r="H32" s="1243">
        <v>0</v>
      </c>
      <c r="I32" s="687">
        <f>IF(A32=6,IF(D32&lt;=8000,0.0075*D32+69,0.007*D32+73),IF(A32=7,IF(D32&lt;=8000,0.0075*D32+64,0.0085*D32+56),IF(A32=8,IF(D32&lt;=8000,0.007*D32+61,0.009*D32+44.667),IF(A32=9,IF(D32&lt;=8000,0.0075*D32+55,0.0093*D32+40.833),IF(A32=10,IF(D32&lt;=7000,0.0075*D32+38.5,0.01*D32+21),IF(A32=51,0.0058*D32+7.0627,IF(A32=52,0.0055*D32+6.8356,IF(A32=53,0.0052*D32+6.0136,VLOOKUP(B32,'Daten Tierhaltung'!$B$7:$G$108,4,FALSE)))))))))</f>
        <v>0</v>
      </c>
      <c r="J32" s="687">
        <f>IF(A32=6,IF(D32&lt;=8000,0.0035*D32+15,0.002*D32+27),IF(A32=7,IF(D32&lt;=8000,0.003*D32+19,0.0025*D32+23),IF(A32=8,IF(D32&lt;=8000,0.0025*D32+22,0.0025*D32+22),IF(A32=9,IF(D32&lt;=8000,0.003*D32+18,0.0025*D32+22),IF(A32=10,IF(D32&lt;=7000,0.003*D32+12,0.0045*D32+1.5),IF(A32=51,0.0009*D32+4.1288,IF(A32=52,0.0014*D32+3.0932,IF(A32=53,0.0006*D32+3.3542,VLOOKUP(B32,'Daten Tierhaltung'!$B$7:$G$108,5,FALSE)))))))))</f>
        <v>0</v>
      </c>
      <c r="K32" s="687">
        <f>IF(A32=6,IF(D32&lt;=8000,0.004*D32+110,0.004*D32+110),IF(A32=7,IF(D32&lt;=8000,0.0025*D32+114,0.0045*D32+98),IF(A32=8,IF(D32&lt;=8000,0.007*D32+67,0.004*D32+91),IF(A32=9,IF(D32&lt;=8000,0.006*D32+68,0.0045*D32+80),IF(A32=10,IF(D32&lt;=7000,0.006*D32+54,0.006*D32+54),IF(A32=51,0.0023*D32+3.9271,IF(A32=52,0.0028*D32+3.3915,IF(A32=53,0.0024*D32+3.522,VLOOKUP(B32,'Daten Tierhaltung'!$B$7:$G$108,6,FALSE)))))))))</f>
        <v>0</v>
      </c>
      <c r="L32" s="687" t="str">
        <f>IF(C32="Abgabe an andere Betriebe",E32*I32*(($F32/365*VLOOKUP(B32,'Daten Tierhaltung'!$B$7:$I$108,7,FALSE))+(($G32/365*VLOOKUP(B32,'Daten Tierhaltung'!$B$7:$I$108,8,FALSE)))),"0")</f>
        <v>0</v>
      </c>
      <c r="M32" s="695">
        <f>IF(C32="auf selbst bewirtschaft. Flächen",E32*I32*(($F32/365*VLOOKUP(B32,'Daten Tierhaltung'!$B$7:$I$108,7,FALSE))+(($G32/365*VLOOKUP(B32,'Daten Tierhaltung'!$B$7:$I$108,8,FALSE)))),"0")</f>
        <v>0</v>
      </c>
      <c r="N32" s="682">
        <f>E32*H32/365*VLOOKUP(B32,'Daten Tierhaltung'!$B$7:$I$108,8,FALSE)*I32</f>
        <v>0</v>
      </c>
      <c r="O32" s="689" t="str">
        <f>IF(C32="in eigene Biogasanlage",E32*I32*((0.95*F32/365*VLOOKUP(B32,'Daten Tierhaltung'!$B$7:$I$108,7,FALSE))+((0.95*G32/365*VLOOKUP(B32,'Daten Tierhaltung'!$B$7:$I$108,8,FALSE)))),"0")</f>
        <v>0</v>
      </c>
      <c r="P32" s="687">
        <f>IF(C32="auf selbst bewirtschaft. Flächen",E32*I32*(($F32/365*VLOOKUP(B32,'Daten Tierhaltung'!$B$7:$K$108,9,FALSE))+(($G32/365*VLOOKUP(B32,'Daten Tierhaltung'!$B$7:$K$108,10,FALSE)))),"0")</f>
        <v>0</v>
      </c>
      <c r="Q32" s="687">
        <f t="shared" si="1"/>
        <v>0</v>
      </c>
      <c r="R32" s="687">
        <f t="shared" si="2"/>
        <v>0</v>
      </c>
    </row>
    <row r="33" spans="1:18" x14ac:dyDescent="0.25">
      <c r="A33" s="680">
        <f>VLOOKUP(B33,'Daten Tierhaltung'!$B$7:$C$108,2,FALSE)</f>
        <v>0</v>
      </c>
      <c r="B33" s="685" t="s">
        <v>805</v>
      </c>
      <c r="C33" s="685" t="s">
        <v>1026</v>
      </c>
      <c r="D33" s="1243">
        <v>0</v>
      </c>
      <c r="E33" s="1243">
        <v>0</v>
      </c>
      <c r="F33" s="686">
        <f t="shared" si="3"/>
        <v>365</v>
      </c>
      <c r="G33" s="1243">
        <v>0</v>
      </c>
      <c r="H33" s="1243">
        <v>0</v>
      </c>
      <c r="I33" s="687">
        <f>IF(A33=6,IF(D33&lt;=8000,0.0075*D33+69,0.007*D33+73),IF(A33=7,IF(D33&lt;=8000,0.0075*D33+64,0.0085*D33+56),IF(A33=8,IF(D33&lt;=8000,0.007*D33+61,0.009*D33+44.667),IF(A33=9,IF(D33&lt;=8000,0.0075*D33+55,0.0093*D33+40.833),IF(A33=10,IF(D33&lt;=7000,0.0075*D33+38.5,0.01*D33+21),IF(A33=51,0.0058*D33+7.0627,IF(A33=52,0.0055*D33+6.8356,IF(A33=53,0.0052*D33+6.0136,VLOOKUP(B33,'Daten Tierhaltung'!$B$7:$G$108,4,FALSE)))))))))</f>
        <v>0</v>
      </c>
      <c r="J33" s="687">
        <f>IF(A33=6,IF(D33&lt;=8000,0.0035*D33+15,0.002*D33+27),IF(A33=7,IF(D33&lt;=8000,0.003*D33+19,0.0025*D33+23),IF(A33=8,IF(D33&lt;=8000,0.0025*D33+22,0.0025*D33+22),IF(A33=9,IF(D33&lt;=8000,0.003*D33+18,0.0025*D33+22),IF(A33=10,IF(D33&lt;=7000,0.003*D33+12,0.0045*D33+1.5),IF(A33=51,0.0009*D33+4.1288,IF(A33=52,0.0014*D33+3.0932,IF(A33=53,0.0006*D33+3.3542,VLOOKUP(B33,'Daten Tierhaltung'!$B$7:$G$108,5,FALSE)))))))))</f>
        <v>0</v>
      </c>
      <c r="K33" s="687">
        <f>IF(A33=6,IF(D33&lt;=8000,0.004*D33+110,0.004*D33+110),IF(A33=7,IF(D33&lt;=8000,0.0025*D33+114,0.0045*D33+98),IF(A33=8,IF(D33&lt;=8000,0.007*D33+67,0.004*D33+91),IF(A33=9,IF(D33&lt;=8000,0.006*D33+68,0.0045*D33+80),IF(A33=10,IF(D33&lt;=7000,0.006*D33+54,0.006*D33+54),IF(A33=51,0.0023*D33+3.9271,IF(A33=52,0.0028*D33+3.3915,IF(A33=53,0.0024*D33+3.522,VLOOKUP(B33,'Daten Tierhaltung'!$B$7:$G$108,6,FALSE)))))))))</f>
        <v>0</v>
      </c>
      <c r="L33" s="687" t="str">
        <f>IF(C33="Abgabe an andere Betriebe",E33*I33*(($F33/365*VLOOKUP(B33,'Daten Tierhaltung'!$B$7:$I$108,7,FALSE))+(($G33/365*VLOOKUP(B33,'Daten Tierhaltung'!$B$7:$I$108,8,FALSE)))),"0")</f>
        <v>0</v>
      </c>
      <c r="M33" s="695">
        <f>IF(C33="auf selbst bewirtschaft. Flächen",E33*I33*(($F33/365*VLOOKUP(B33,'Daten Tierhaltung'!$B$7:$I$108,7,FALSE))+(($G33/365*VLOOKUP(B33,'Daten Tierhaltung'!$B$7:$I$108,8,FALSE)))),"0")</f>
        <v>0</v>
      </c>
      <c r="N33" s="682">
        <f>E33*H33/365*VLOOKUP(B33,'Daten Tierhaltung'!$B$7:$I$108,8,FALSE)*I33</f>
        <v>0</v>
      </c>
      <c r="O33" s="689" t="str">
        <f>IF(C33="in eigene Biogasanlage",E33*I33*((0.95*F33/365*VLOOKUP(B33,'Daten Tierhaltung'!$B$7:$I$108,7,FALSE))+((0.95*G33/365*VLOOKUP(B33,'Daten Tierhaltung'!$B$7:$I$108,8,FALSE)))),"0")</f>
        <v>0</v>
      </c>
      <c r="P33" s="687">
        <f>IF(C33="auf selbst bewirtschaft. Flächen",E33*I33*(($F33/365*VLOOKUP(B33,'Daten Tierhaltung'!$B$7:$K$108,9,FALSE))+(($G33/365*VLOOKUP(B33,'Daten Tierhaltung'!$B$7:$K$108,10,FALSE)))),"0")</f>
        <v>0</v>
      </c>
      <c r="Q33" s="687">
        <f t="shared" si="1"/>
        <v>0</v>
      </c>
      <c r="R33" s="687">
        <f t="shared" si="2"/>
        <v>0</v>
      </c>
    </row>
    <row r="34" spans="1:18" x14ac:dyDescent="0.25">
      <c r="A34" s="680">
        <f>VLOOKUP(B34,'Daten Tierhaltung'!$B$7:$C$108,2,FALSE)</f>
        <v>0</v>
      </c>
      <c r="B34" s="685" t="s">
        <v>805</v>
      </c>
      <c r="C34" s="685" t="s">
        <v>1026</v>
      </c>
      <c r="D34" s="1243">
        <v>0</v>
      </c>
      <c r="E34" s="1243">
        <v>0</v>
      </c>
      <c r="F34" s="686">
        <f t="shared" si="3"/>
        <v>365</v>
      </c>
      <c r="G34" s="1243">
        <v>0</v>
      </c>
      <c r="H34" s="1243">
        <v>0</v>
      </c>
      <c r="I34" s="687">
        <f>IF(A34=6,IF(D34&lt;=8000,0.0075*D34+69,0.007*D34+73),IF(A34=7,IF(D34&lt;=8000,0.0075*D34+64,0.0085*D34+56),IF(A34=8,IF(D34&lt;=8000,0.007*D34+61,0.009*D34+44.667),IF(A34=9,IF(D34&lt;=8000,0.0075*D34+55,0.0093*D34+40.833),IF(A34=10,IF(D34&lt;=7000,0.0075*D34+38.5,0.01*D34+21),IF(A34=51,0.0058*D34+7.0627,IF(A34=52,0.0055*D34+6.8356,IF(A34=53,0.0052*D34+6.0136,VLOOKUP(B34,'Daten Tierhaltung'!$B$7:$G$108,4,FALSE)))))))))</f>
        <v>0</v>
      </c>
      <c r="J34" s="687">
        <f>IF(A34=6,IF(D34&lt;=8000,0.0035*D34+15,0.002*D34+27),IF(A34=7,IF(D34&lt;=8000,0.003*D34+19,0.0025*D34+23),IF(A34=8,IF(D34&lt;=8000,0.0025*D34+22,0.0025*D34+22),IF(A34=9,IF(D34&lt;=8000,0.003*D34+18,0.0025*D34+22),IF(A34=10,IF(D34&lt;=7000,0.003*D34+12,0.0045*D34+1.5),IF(A34=51,0.0009*D34+4.1288,IF(A34=52,0.0014*D34+3.0932,IF(A34=53,0.0006*D34+3.3542,VLOOKUP(B34,'Daten Tierhaltung'!$B$7:$G$108,5,FALSE)))))))))</f>
        <v>0</v>
      </c>
      <c r="K34" s="687">
        <f>IF(A34=6,IF(D34&lt;=8000,0.004*D34+110,0.004*D34+110),IF(A34=7,IF(D34&lt;=8000,0.0025*D34+114,0.0045*D34+98),IF(A34=8,IF(D34&lt;=8000,0.007*D34+67,0.004*D34+91),IF(A34=9,IF(D34&lt;=8000,0.006*D34+68,0.0045*D34+80),IF(A34=10,IF(D34&lt;=7000,0.006*D34+54,0.006*D34+54),IF(A34=51,0.0023*D34+3.9271,IF(A34=52,0.0028*D34+3.3915,IF(A34=53,0.0024*D34+3.522,VLOOKUP(B34,'Daten Tierhaltung'!$B$7:$G$108,6,FALSE)))))))))</f>
        <v>0</v>
      </c>
      <c r="L34" s="687" t="str">
        <f>IF(C34="Abgabe an andere Betriebe",E34*I34*(($F34/365*VLOOKUP(B34,'Daten Tierhaltung'!$B$7:$I$108,7,FALSE))+(($G34/365*VLOOKUP(B34,'Daten Tierhaltung'!$B$7:$I$108,8,FALSE)))),"0")</f>
        <v>0</v>
      </c>
      <c r="M34" s="695">
        <f>IF(C34="auf selbst bewirtschaft. Flächen",E34*I34*(($F34/365*VLOOKUP(B34,'Daten Tierhaltung'!$B$7:$I$108,7,FALSE))+(($G34/365*VLOOKUP(B34,'Daten Tierhaltung'!$B$7:$I$108,8,FALSE)))),"0")</f>
        <v>0</v>
      </c>
      <c r="N34" s="682">
        <f>E34*H34/365*VLOOKUP(B34,'Daten Tierhaltung'!$B$7:$I$108,8,FALSE)*I34</f>
        <v>0</v>
      </c>
      <c r="O34" s="689" t="str">
        <f>IF(C34="in eigene Biogasanlage",E34*I34*((0.95*F34/365*VLOOKUP(B34,'Daten Tierhaltung'!$B$7:$I$108,7,FALSE))+((0.95*G34/365*VLOOKUP(B34,'Daten Tierhaltung'!$B$7:$I$108,8,FALSE)))),"0")</f>
        <v>0</v>
      </c>
      <c r="P34" s="687">
        <f>IF(C34="auf selbst bewirtschaft. Flächen",E34*I34*(($F34/365*VLOOKUP(B34,'Daten Tierhaltung'!$B$7:$K$108,9,FALSE))+(($G34/365*VLOOKUP(B34,'Daten Tierhaltung'!$B$7:$K$108,10,FALSE)))),"0")</f>
        <v>0</v>
      </c>
      <c r="Q34" s="687">
        <f t="shared" si="1"/>
        <v>0</v>
      </c>
      <c r="R34" s="687">
        <f t="shared" si="2"/>
        <v>0</v>
      </c>
    </row>
    <row r="35" spans="1:18" x14ac:dyDescent="0.25">
      <c r="A35" s="680">
        <f>VLOOKUP(B35,'Daten Tierhaltung'!$B$7:$C$108,2,FALSE)</f>
        <v>0</v>
      </c>
      <c r="B35" s="685" t="s">
        <v>805</v>
      </c>
      <c r="C35" s="685" t="s">
        <v>1026</v>
      </c>
      <c r="D35" s="1243">
        <v>0</v>
      </c>
      <c r="E35" s="1243">
        <v>0</v>
      </c>
      <c r="F35" s="686">
        <f t="shared" si="3"/>
        <v>365</v>
      </c>
      <c r="G35" s="1243">
        <v>0</v>
      </c>
      <c r="H35" s="1243">
        <v>0</v>
      </c>
      <c r="I35" s="687">
        <f>IF(A35=6,IF(D35&lt;=8000,0.0075*D35+69,0.007*D35+73),IF(A35=7,IF(D35&lt;=8000,0.0075*D35+64,0.0085*D35+56),IF(A35=8,IF(D35&lt;=8000,0.007*D35+61,0.009*D35+44.667),IF(A35=9,IF(D35&lt;=8000,0.0075*D35+55,0.0093*D35+40.833),IF(A35=10,IF(D35&lt;=7000,0.0075*D35+38.5,0.01*D35+21),IF(A35=51,0.0058*D35+7.0627,IF(A35=52,0.0055*D35+6.8356,IF(A35=53,0.0052*D35+6.0136,VLOOKUP(B35,'Daten Tierhaltung'!$B$7:$G$108,4,FALSE)))))))))</f>
        <v>0</v>
      </c>
      <c r="J35" s="687">
        <f>IF(A35=6,IF(D35&lt;=8000,0.0035*D35+15,0.002*D35+27),IF(A35=7,IF(D35&lt;=8000,0.003*D35+19,0.0025*D35+23),IF(A35=8,IF(D35&lt;=8000,0.0025*D35+22,0.0025*D35+22),IF(A35=9,IF(D35&lt;=8000,0.003*D35+18,0.0025*D35+22),IF(A35=10,IF(D35&lt;=7000,0.003*D35+12,0.0045*D35+1.5),IF(A35=51,0.0009*D35+4.1288,IF(A35=52,0.0014*D35+3.0932,IF(A35=53,0.0006*D35+3.3542,VLOOKUP(B35,'Daten Tierhaltung'!$B$7:$G$108,5,FALSE)))))))))</f>
        <v>0</v>
      </c>
      <c r="K35" s="687">
        <f>IF(A35=6,IF(D35&lt;=8000,0.004*D35+110,0.004*D35+110),IF(A35=7,IF(D35&lt;=8000,0.0025*D35+114,0.0045*D35+98),IF(A35=8,IF(D35&lt;=8000,0.007*D35+67,0.004*D35+91),IF(A35=9,IF(D35&lt;=8000,0.006*D35+68,0.0045*D35+80),IF(A35=10,IF(D35&lt;=7000,0.006*D35+54,0.006*D35+54),IF(A35=51,0.0023*D35+3.9271,IF(A35=52,0.0028*D35+3.3915,IF(A35=53,0.0024*D35+3.522,VLOOKUP(B35,'Daten Tierhaltung'!$B$7:$G$108,6,FALSE)))))))))</f>
        <v>0</v>
      </c>
      <c r="L35" s="687" t="str">
        <f>IF(C35="Abgabe an andere Betriebe",E35*I35*(($F35/365*VLOOKUP(B35,'Daten Tierhaltung'!$B$7:$I$108,7,FALSE))+(($G35/365*VLOOKUP(B35,'Daten Tierhaltung'!$B$7:$I$108,8,FALSE)))),"0")</f>
        <v>0</v>
      </c>
      <c r="M35" s="695">
        <f>IF(C35="auf selbst bewirtschaft. Flächen",E35*I35*(($F35/365*VLOOKUP(B35,'Daten Tierhaltung'!$B$7:$I$108,7,FALSE))+(($G35/365*VLOOKUP(B35,'Daten Tierhaltung'!$B$7:$I$108,8,FALSE)))),"0")</f>
        <v>0</v>
      </c>
      <c r="N35" s="682">
        <f>E35*H35/365*VLOOKUP(B35,'Daten Tierhaltung'!$B$7:$I$108,8,FALSE)*I35</f>
        <v>0</v>
      </c>
      <c r="O35" s="689" t="str">
        <f>IF(C35="in eigene Biogasanlage",E35*I35*((0.95*F35/365*VLOOKUP(B35,'Daten Tierhaltung'!$B$7:$I$108,7,FALSE))+((0.95*G35/365*VLOOKUP(B35,'Daten Tierhaltung'!$B$7:$I$108,8,FALSE)))),"0")</f>
        <v>0</v>
      </c>
      <c r="P35" s="687">
        <f>IF(C35="auf selbst bewirtschaft. Flächen",E35*I35*(($F35/365*VLOOKUP(B35,'Daten Tierhaltung'!$B$7:$K$108,9,FALSE))+(($G35/365*VLOOKUP(B35,'Daten Tierhaltung'!$B$7:$K$108,10,FALSE)))),"0")</f>
        <v>0</v>
      </c>
      <c r="Q35" s="687">
        <f t="shared" si="1"/>
        <v>0</v>
      </c>
      <c r="R35" s="687">
        <f t="shared" si="2"/>
        <v>0</v>
      </c>
    </row>
    <row r="36" spans="1:18" x14ac:dyDescent="0.25">
      <c r="A36" s="680">
        <f>VLOOKUP(B36,'Daten Tierhaltung'!$B$7:$C$108,2,FALSE)</f>
        <v>0</v>
      </c>
      <c r="B36" s="685" t="s">
        <v>805</v>
      </c>
      <c r="C36" s="685" t="s">
        <v>1026</v>
      </c>
      <c r="D36" s="1243">
        <v>0</v>
      </c>
      <c r="E36" s="1243">
        <v>0</v>
      </c>
      <c r="F36" s="686">
        <f t="shared" si="3"/>
        <v>365</v>
      </c>
      <c r="G36" s="1243">
        <v>0</v>
      </c>
      <c r="H36" s="1243">
        <v>0</v>
      </c>
      <c r="I36" s="687">
        <f>IF(A36=6,IF(D36&lt;=8000,0.0075*D36+69,0.007*D36+73),IF(A36=7,IF(D36&lt;=8000,0.0075*D36+64,0.0085*D36+56),IF(A36=8,IF(D36&lt;=8000,0.007*D36+61,0.009*D36+44.667),IF(A36=9,IF(D36&lt;=8000,0.0075*D36+55,0.0093*D36+40.833),IF(A36=10,IF(D36&lt;=7000,0.0075*D36+38.5,0.01*D36+21),IF(A36=51,0.0058*D36+7.0627,IF(A36=52,0.0055*D36+6.8356,IF(A36=53,0.0052*D36+6.0136,VLOOKUP(B36,'Daten Tierhaltung'!$B$7:$G$108,4,FALSE)))))))))</f>
        <v>0</v>
      </c>
      <c r="J36" s="687">
        <f>IF(A36=6,IF(D36&lt;=8000,0.0035*D36+15,0.002*D36+27),IF(A36=7,IF(D36&lt;=8000,0.003*D36+19,0.0025*D36+23),IF(A36=8,IF(D36&lt;=8000,0.0025*D36+22,0.0025*D36+22),IF(A36=9,IF(D36&lt;=8000,0.003*D36+18,0.0025*D36+22),IF(A36=10,IF(D36&lt;=7000,0.003*D36+12,0.0045*D36+1.5),IF(A36=51,0.0009*D36+4.1288,IF(A36=52,0.0014*D36+3.0932,IF(A36=53,0.0006*D36+3.3542,VLOOKUP(B36,'Daten Tierhaltung'!$B$7:$G$108,5,FALSE)))))))))</f>
        <v>0</v>
      </c>
      <c r="K36" s="687">
        <f>IF(A36=6,IF(D36&lt;=8000,0.004*D36+110,0.004*D36+110),IF(A36=7,IF(D36&lt;=8000,0.0025*D36+114,0.0045*D36+98),IF(A36=8,IF(D36&lt;=8000,0.007*D36+67,0.004*D36+91),IF(A36=9,IF(D36&lt;=8000,0.006*D36+68,0.0045*D36+80),IF(A36=10,IF(D36&lt;=7000,0.006*D36+54,0.006*D36+54),IF(A36=51,0.0023*D36+3.9271,IF(A36=52,0.0028*D36+3.3915,IF(A36=53,0.0024*D36+3.522,VLOOKUP(B36,'Daten Tierhaltung'!$B$7:$G$108,6,FALSE)))))))))</f>
        <v>0</v>
      </c>
      <c r="L36" s="687" t="str">
        <f>IF(C36="Abgabe an andere Betriebe",E36*I36*(($F36/365*VLOOKUP(B36,'Daten Tierhaltung'!$B$7:$I$108,7,FALSE))+(($G36/365*VLOOKUP(B36,'Daten Tierhaltung'!$B$7:$I$108,8,FALSE)))),"0")</f>
        <v>0</v>
      </c>
      <c r="M36" s="695">
        <f>IF(C36="auf selbst bewirtschaft. Flächen",E36*I36*(($F36/365*VLOOKUP(B36,'Daten Tierhaltung'!$B$7:$I$108,7,FALSE))+(($G36/365*VLOOKUP(B36,'Daten Tierhaltung'!$B$7:$I$108,8,FALSE)))),"0")</f>
        <v>0</v>
      </c>
      <c r="N36" s="682">
        <f>E36*H36/365*VLOOKUP(B36,'Daten Tierhaltung'!$B$7:$I$108,8,FALSE)*I36</f>
        <v>0</v>
      </c>
      <c r="O36" s="689" t="str">
        <f>IF(C36="in eigene Biogasanlage",E36*I36*((0.95*F36/365*VLOOKUP(B36,'Daten Tierhaltung'!$B$7:$I$108,7,FALSE))+((0.95*G36/365*VLOOKUP(B36,'Daten Tierhaltung'!$B$7:$I$108,8,FALSE)))),"0")</f>
        <v>0</v>
      </c>
      <c r="P36" s="687">
        <f>IF(C36="auf selbst bewirtschaft. Flächen",E36*I36*(($F36/365*VLOOKUP(B36,'Daten Tierhaltung'!$B$7:$K$108,9,FALSE))+(($G36/365*VLOOKUP(B36,'Daten Tierhaltung'!$B$7:$K$108,10,FALSE)))),"0")</f>
        <v>0</v>
      </c>
      <c r="Q36" s="687">
        <f t="shared" si="1"/>
        <v>0</v>
      </c>
      <c r="R36" s="687">
        <f t="shared" si="2"/>
        <v>0</v>
      </c>
    </row>
    <row r="37" spans="1:18" x14ac:dyDescent="0.25">
      <c r="A37" s="680">
        <f>VLOOKUP(B37,'Daten Tierhaltung'!$B$7:$C$108,2,FALSE)</f>
        <v>0</v>
      </c>
      <c r="B37" s="685" t="s">
        <v>805</v>
      </c>
      <c r="C37" s="685" t="s">
        <v>1026</v>
      </c>
      <c r="D37" s="1243">
        <v>0</v>
      </c>
      <c r="E37" s="1243">
        <v>0</v>
      </c>
      <c r="F37" s="686">
        <f t="shared" si="3"/>
        <v>365</v>
      </c>
      <c r="G37" s="1243">
        <v>0</v>
      </c>
      <c r="H37" s="1243">
        <v>0</v>
      </c>
      <c r="I37" s="687">
        <f>IF(A37=6,IF(D37&lt;=8000,0.0075*D37+69,0.007*D37+73),IF(A37=7,IF(D37&lt;=8000,0.0075*D37+64,0.0085*D37+56),IF(A37=8,IF(D37&lt;=8000,0.007*D37+61,0.009*D37+44.667),IF(A37=9,IF(D37&lt;=8000,0.0075*D37+55,0.0093*D37+40.833),IF(A37=10,IF(D37&lt;=7000,0.0075*D37+38.5,0.01*D37+21),IF(A37=51,0.0058*D37+7.0627,IF(A37=52,0.0055*D37+6.8356,IF(A37=53,0.0052*D37+6.0136,VLOOKUP(B37,'Daten Tierhaltung'!$B$7:$G$108,4,FALSE)))))))))</f>
        <v>0</v>
      </c>
      <c r="J37" s="687">
        <f>IF(A37=6,IF(D37&lt;=8000,0.0035*D37+15,0.002*D37+27),IF(A37=7,IF(D37&lt;=8000,0.003*D37+19,0.0025*D37+23),IF(A37=8,IF(D37&lt;=8000,0.0025*D37+22,0.0025*D37+22),IF(A37=9,IF(D37&lt;=8000,0.003*D37+18,0.0025*D37+22),IF(A37=10,IF(D37&lt;=7000,0.003*D37+12,0.0045*D37+1.5),IF(A37=51,0.0009*D37+4.1288,IF(A37=52,0.0014*D37+3.0932,IF(A37=53,0.0006*D37+3.3542,VLOOKUP(B37,'Daten Tierhaltung'!$B$7:$G$108,5,FALSE)))))))))</f>
        <v>0</v>
      </c>
      <c r="K37" s="687">
        <f>IF(A37=6,IF(D37&lt;=8000,0.004*D37+110,0.004*D37+110),IF(A37=7,IF(D37&lt;=8000,0.0025*D37+114,0.0045*D37+98),IF(A37=8,IF(D37&lt;=8000,0.007*D37+67,0.004*D37+91),IF(A37=9,IF(D37&lt;=8000,0.006*D37+68,0.0045*D37+80),IF(A37=10,IF(D37&lt;=7000,0.006*D37+54,0.006*D37+54),IF(A37=51,0.0023*D37+3.9271,IF(A37=52,0.0028*D37+3.3915,IF(A37=53,0.0024*D37+3.522,VLOOKUP(B37,'Daten Tierhaltung'!$B$7:$G$108,6,FALSE)))))))))</f>
        <v>0</v>
      </c>
      <c r="L37" s="687" t="str">
        <f>IF(C37="Abgabe an andere Betriebe",E37*I37*(($F37/365*VLOOKUP(B37,'Daten Tierhaltung'!$B$7:$I$108,7,FALSE))+(($G37/365*VLOOKUP(B37,'Daten Tierhaltung'!$B$7:$I$108,8,FALSE)))),"0")</f>
        <v>0</v>
      </c>
      <c r="M37" s="695">
        <f>IF(C37="auf selbst bewirtschaft. Flächen",E37*I37*(($F37/365*VLOOKUP(B37,'Daten Tierhaltung'!$B$7:$I$108,7,FALSE))+(($G37/365*VLOOKUP(B37,'Daten Tierhaltung'!$B$7:$I$108,8,FALSE)))),"0")</f>
        <v>0</v>
      </c>
      <c r="N37" s="682">
        <f>E37*H37/365*VLOOKUP(B37,'Daten Tierhaltung'!$B$7:$I$108,8,FALSE)*I37</f>
        <v>0</v>
      </c>
      <c r="O37" s="689" t="str">
        <f>IF(C37="in eigene Biogasanlage",E37*I37*((0.95*F37/365*VLOOKUP(B37,'Daten Tierhaltung'!$B$7:$I$108,7,FALSE))+((0.95*G37/365*VLOOKUP(B37,'Daten Tierhaltung'!$B$7:$I$108,8,FALSE)))),"0")</f>
        <v>0</v>
      </c>
      <c r="P37" s="687">
        <f>IF(C37="auf selbst bewirtschaft. Flächen",E37*I37*(($F37/365*VLOOKUP(B37,'Daten Tierhaltung'!$B$7:$K$108,9,FALSE))+(($G37/365*VLOOKUP(B37,'Daten Tierhaltung'!$B$7:$K$108,10,FALSE)))),"0")</f>
        <v>0</v>
      </c>
      <c r="Q37" s="687">
        <f t="shared" si="1"/>
        <v>0</v>
      </c>
      <c r="R37" s="687">
        <f t="shared" si="2"/>
        <v>0</v>
      </c>
    </row>
    <row r="38" spans="1:18" x14ac:dyDescent="0.25">
      <c r="A38" s="680">
        <f>VLOOKUP(B38,'Daten Tierhaltung'!$B$7:$C$108,2,FALSE)</f>
        <v>0</v>
      </c>
      <c r="B38" s="685" t="s">
        <v>805</v>
      </c>
      <c r="C38" s="685" t="s">
        <v>1026</v>
      </c>
      <c r="D38" s="1243">
        <v>0</v>
      </c>
      <c r="E38" s="1243">
        <v>0</v>
      </c>
      <c r="F38" s="686">
        <f t="shared" si="3"/>
        <v>365</v>
      </c>
      <c r="G38" s="1243">
        <v>0</v>
      </c>
      <c r="H38" s="1243">
        <v>0</v>
      </c>
      <c r="I38" s="687">
        <f>IF(A38=6,IF(D38&lt;=8000,0.0075*D38+69,0.007*D38+73),IF(A38=7,IF(D38&lt;=8000,0.0075*D38+64,0.0085*D38+56),IF(A38=8,IF(D38&lt;=8000,0.007*D38+61,0.009*D38+44.667),IF(A38=9,IF(D38&lt;=8000,0.0075*D38+55,0.0093*D38+40.833),IF(A38=10,IF(D38&lt;=7000,0.0075*D38+38.5,0.01*D38+21),IF(A38=51,0.0058*D38+7.0627,IF(A38=52,0.0055*D38+6.8356,IF(A38=53,0.0052*D38+6.0136,VLOOKUP(B38,'Daten Tierhaltung'!$B$7:$G$108,4,FALSE)))))))))</f>
        <v>0</v>
      </c>
      <c r="J38" s="687">
        <f>IF(A38=6,IF(D38&lt;=8000,0.0035*D38+15,0.002*D38+27),IF(A38=7,IF(D38&lt;=8000,0.003*D38+19,0.0025*D38+23),IF(A38=8,IF(D38&lt;=8000,0.0025*D38+22,0.0025*D38+22),IF(A38=9,IF(D38&lt;=8000,0.003*D38+18,0.0025*D38+22),IF(A38=10,IF(D38&lt;=7000,0.003*D38+12,0.0045*D38+1.5),IF(A38=51,0.0009*D38+4.1288,IF(A38=52,0.0014*D38+3.0932,IF(A38=53,0.0006*D38+3.3542,VLOOKUP(B38,'Daten Tierhaltung'!$B$7:$G$108,5,FALSE)))))))))</f>
        <v>0</v>
      </c>
      <c r="K38" s="687">
        <f>IF(A38=6,IF(D38&lt;=8000,0.004*D38+110,0.004*D38+110),IF(A38=7,IF(D38&lt;=8000,0.0025*D38+114,0.0045*D38+98),IF(A38=8,IF(D38&lt;=8000,0.007*D38+67,0.004*D38+91),IF(A38=9,IF(D38&lt;=8000,0.006*D38+68,0.0045*D38+80),IF(A38=10,IF(D38&lt;=7000,0.006*D38+54,0.006*D38+54),IF(A38=51,0.0023*D38+3.9271,IF(A38=52,0.0028*D38+3.3915,IF(A38=53,0.0024*D38+3.522,VLOOKUP(B38,'Daten Tierhaltung'!$B$7:$G$108,6,FALSE)))))))))</f>
        <v>0</v>
      </c>
      <c r="L38" s="687" t="str">
        <f>IF(C38="Abgabe an andere Betriebe",E38*I38*(($F38/365*VLOOKUP(B38,'Daten Tierhaltung'!$B$7:$I$108,7,FALSE))+(($G38/365*VLOOKUP(B38,'Daten Tierhaltung'!$B$7:$I$108,8,FALSE)))),"0")</f>
        <v>0</v>
      </c>
      <c r="M38" s="695">
        <f>IF(C38="auf selbst bewirtschaft. Flächen",E38*I38*(($F38/365*VLOOKUP(B38,'Daten Tierhaltung'!$B$7:$I$108,7,FALSE))+(($G38/365*VLOOKUP(B38,'Daten Tierhaltung'!$B$7:$I$108,8,FALSE)))),"0")</f>
        <v>0</v>
      </c>
      <c r="N38" s="682">
        <f>E38*H38/365*VLOOKUP(B38,'Daten Tierhaltung'!$B$7:$I$108,8,FALSE)*I38</f>
        <v>0</v>
      </c>
      <c r="O38" s="689" t="str">
        <f>IF(C38="in eigene Biogasanlage",E38*I38*((0.95*F38/365*VLOOKUP(B38,'Daten Tierhaltung'!$B$7:$I$108,7,FALSE))+((0.95*G38/365*VLOOKUP(B38,'Daten Tierhaltung'!$B$7:$I$108,8,FALSE)))),"0")</f>
        <v>0</v>
      </c>
      <c r="P38" s="687">
        <f>IF(C38="auf selbst bewirtschaft. Flächen",E38*I38*(($F38/365*VLOOKUP(B38,'Daten Tierhaltung'!$B$7:$K$108,9,FALSE))+(($G38/365*VLOOKUP(B38,'Daten Tierhaltung'!$B$7:$K$108,10,FALSE)))),"0")</f>
        <v>0</v>
      </c>
      <c r="Q38" s="687">
        <f t="shared" si="1"/>
        <v>0</v>
      </c>
      <c r="R38" s="687">
        <f t="shared" si="2"/>
        <v>0</v>
      </c>
    </row>
    <row r="39" spans="1:18" x14ac:dyDescent="0.25">
      <c r="A39" s="680">
        <f>VLOOKUP(B39,'Daten Tierhaltung'!$B$7:$C$108,2,FALSE)</f>
        <v>0</v>
      </c>
      <c r="B39" s="685" t="s">
        <v>805</v>
      </c>
      <c r="C39" s="685" t="s">
        <v>1026</v>
      </c>
      <c r="D39" s="1243">
        <v>0</v>
      </c>
      <c r="E39" s="1243">
        <v>0</v>
      </c>
      <c r="F39" s="686">
        <f t="shared" si="3"/>
        <v>365</v>
      </c>
      <c r="G39" s="1243">
        <v>0</v>
      </c>
      <c r="H39" s="1243">
        <v>0</v>
      </c>
      <c r="I39" s="687">
        <f>IF(A39=6,IF(D39&lt;=8000,0.0075*D39+69,0.007*D39+73),IF(A39=7,IF(D39&lt;=8000,0.0075*D39+64,0.0085*D39+56),IF(A39=8,IF(D39&lt;=8000,0.007*D39+61,0.009*D39+44.667),IF(A39=9,IF(D39&lt;=8000,0.0075*D39+55,0.0093*D39+40.833),IF(A39=10,IF(D39&lt;=7000,0.0075*D39+38.5,0.01*D39+21),IF(A39=51,0.0058*D39+7.0627,IF(A39=52,0.0055*D39+6.8356,IF(A39=53,0.0052*D39+6.0136,VLOOKUP(B39,'Daten Tierhaltung'!$B$7:$G$108,4,FALSE)))))))))</f>
        <v>0</v>
      </c>
      <c r="J39" s="687">
        <f>IF(A39=6,IF(D39&lt;=8000,0.0035*D39+15,0.002*D39+27),IF(A39=7,IF(D39&lt;=8000,0.003*D39+19,0.0025*D39+23),IF(A39=8,IF(D39&lt;=8000,0.0025*D39+22,0.0025*D39+22),IF(A39=9,IF(D39&lt;=8000,0.003*D39+18,0.0025*D39+22),IF(A39=10,IF(D39&lt;=7000,0.003*D39+12,0.0045*D39+1.5),IF(A39=51,0.0009*D39+4.1288,IF(A39=52,0.0014*D39+3.0932,IF(A39=53,0.0006*D39+3.3542,VLOOKUP(B39,'Daten Tierhaltung'!$B$7:$G$108,5,FALSE)))))))))</f>
        <v>0</v>
      </c>
      <c r="K39" s="687">
        <f>IF(A39=6,IF(D39&lt;=8000,0.004*D39+110,0.004*D39+110),IF(A39=7,IF(D39&lt;=8000,0.0025*D39+114,0.0045*D39+98),IF(A39=8,IF(D39&lt;=8000,0.007*D39+67,0.004*D39+91),IF(A39=9,IF(D39&lt;=8000,0.006*D39+68,0.0045*D39+80),IF(A39=10,IF(D39&lt;=7000,0.006*D39+54,0.006*D39+54),IF(A39=51,0.0023*D39+3.9271,IF(A39=52,0.0028*D39+3.3915,IF(A39=53,0.0024*D39+3.522,VLOOKUP(B39,'Daten Tierhaltung'!$B$7:$G$108,6,FALSE)))))))))</f>
        <v>0</v>
      </c>
      <c r="L39" s="687" t="str">
        <f>IF(C39="Abgabe an andere Betriebe",E39*I39*(($F39/365*VLOOKUP(B39,'Daten Tierhaltung'!$B$7:$I$108,7,FALSE))+(($G39/365*VLOOKUP(B39,'Daten Tierhaltung'!$B$7:$I$108,8,FALSE)))),"0")</f>
        <v>0</v>
      </c>
      <c r="M39" s="695">
        <f>IF(C39="auf selbst bewirtschaft. Flächen",E39*I39*(($F39/365*VLOOKUP(B39,'Daten Tierhaltung'!$B$7:$I$108,7,FALSE))+(($G39/365*VLOOKUP(B39,'Daten Tierhaltung'!$B$7:$I$108,8,FALSE)))),"0")</f>
        <v>0</v>
      </c>
      <c r="N39" s="682">
        <f>E39*H39/365*VLOOKUP(B39,'Daten Tierhaltung'!$B$7:$I$108,8,FALSE)*I39</f>
        <v>0</v>
      </c>
      <c r="O39" s="689" t="str">
        <f>IF(C39="in eigene Biogasanlage",E39*I39*((0.95*F39/365*VLOOKUP(B39,'Daten Tierhaltung'!$B$7:$I$108,7,FALSE))+((0.95*G39/365*VLOOKUP(B39,'Daten Tierhaltung'!$B$7:$I$108,8,FALSE)))),"0")</f>
        <v>0</v>
      </c>
      <c r="P39" s="687">
        <f>IF(C39="auf selbst bewirtschaft. Flächen",E39*I39*(($F39/365*VLOOKUP(B39,'Daten Tierhaltung'!$B$7:$K$108,9,FALSE))+(($G39/365*VLOOKUP(B39,'Daten Tierhaltung'!$B$7:$K$108,10,FALSE)))),"0")</f>
        <v>0</v>
      </c>
      <c r="Q39" s="687">
        <f t="shared" si="1"/>
        <v>0</v>
      </c>
      <c r="R39" s="687">
        <f t="shared" si="2"/>
        <v>0</v>
      </c>
    </row>
    <row r="40" spans="1:18" x14ac:dyDescent="0.25">
      <c r="A40" s="680">
        <f>VLOOKUP(B40,'Daten Tierhaltung'!$B$7:$C$108,2,FALSE)</f>
        <v>0</v>
      </c>
      <c r="B40" s="685" t="s">
        <v>805</v>
      </c>
      <c r="C40" s="685" t="s">
        <v>1026</v>
      </c>
      <c r="D40" s="1243">
        <v>0</v>
      </c>
      <c r="E40" s="1243">
        <v>0</v>
      </c>
      <c r="F40" s="686">
        <f t="shared" si="3"/>
        <v>365</v>
      </c>
      <c r="G40" s="1243">
        <v>0</v>
      </c>
      <c r="H40" s="1243">
        <v>0</v>
      </c>
      <c r="I40" s="687">
        <f>IF(A40=6,IF(D40&lt;=8000,0.0075*D40+69,0.007*D40+73),IF(A40=7,IF(D40&lt;=8000,0.0075*D40+64,0.0085*D40+56),IF(A40=8,IF(D40&lt;=8000,0.007*D40+61,0.009*D40+44.667),IF(A40=9,IF(D40&lt;=8000,0.0075*D40+55,0.0093*D40+40.833),IF(A40=10,IF(D40&lt;=7000,0.0075*D40+38.5,0.01*D40+21),IF(A40=51,0.0058*D40+7.0627,IF(A40=52,0.0055*D40+6.8356,IF(A40=53,0.0052*D40+6.0136,VLOOKUP(B40,'Daten Tierhaltung'!$B$7:$G$108,4,FALSE)))))))))</f>
        <v>0</v>
      </c>
      <c r="J40" s="687">
        <f>IF(A40=6,IF(D40&lt;=8000,0.0035*D40+15,0.002*D40+27),IF(A40=7,IF(D40&lt;=8000,0.003*D40+19,0.0025*D40+23),IF(A40=8,IF(D40&lt;=8000,0.0025*D40+22,0.0025*D40+22),IF(A40=9,IF(D40&lt;=8000,0.003*D40+18,0.0025*D40+22),IF(A40=10,IF(D40&lt;=7000,0.003*D40+12,0.0045*D40+1.5),IF(A40=51,0.0009*D40+4.1288,IF(A40=52,0.0014*D40+3.0932,IF(A40=53,0.0006*D40+3.3542,VLOOKUP(B40,'Daten Tierhaltung'!$B$7:$G$108,5,FALSE)))))))))</f>
        <v>0</v>
      </c>
      <c r="K40" s="687">
        <f>IF(A40=6,IF(D40&lt;=8000,0.004*D40+110,0.004*D40+110),IF(A40=7,IF(D40&lt;=8000,0.0025*D40+114,0.0045*D40+98),IF(A40=8,IF(D40&lt;=8000,0.007*D40+67,0.004*D40+91),IF(A40=9,IF(D40&lt;=8000,0.006*D40+68,0.0045*D40+80),IF(A40=10,IF(D40&lt;=7000,0.006*D40+54,0.006*D40+54),IF(A40=51,0.0023*D40+3.9271,IF(A40=52,0.0028*D40+3.3915,IF(A40=53,0.0024*D40+3.522,VLOOKUP(B40,'Daten Tierhaltung'!$B$7:$G$108,6,FALSE)))))))))</f>
        <v>0</v>
      </c>
      <c r="L40" s="687" t="str">
        <f>IF(C40="Abgabe an andere Betriebe",E40*I40*(($F40/365*VLOOKUP(B40,'Daten Tierhaltung'!$B$7:$I$108,7,FALSE))+(($G40/365*VLOOKUP(B40,'Daten Tierhaltung'!$B$7:$I$108,8,FALSE)))),"0")</f>
        <v>0</v>
      </c>
      <c r="M40" s="695">
        <f>IF(C40="auf selbst bewirtschaft. Flächen",E40*I40*(($F40/365*VLOOKUP(B40,'Daten Tierhaltung'!$B$7:$I$108,7,FALSE))+(($G40/365*VLOOKUP(B40,'Daten Tierhaltung'!$B$7:$I$108,8,FALSE)))),"0")</f>
        <v>0</v>
      </c>
      <c r="N40" s="682">
        <f>E40*H40/365*VLOOKUP(B40,'Daten Tierhaltung'!$B$7:$I$108,8,FALSE)*I40</f>
        <v>0</v>
      </c>
      <c r="O40" s="689" t="str">
        <f>IF(C40="in eigene Biogasanlage",E40*I40*((0.95*F40/365*VLOOKUP(B40,'Daten Tierhaltung'!$B$7:$I$108,7,FALSE))+((0.95*G40/365*VLOOKUP(B40,'Daten Tierhaltung'!$B$7:$I$108,8,FALSE)))),"0")</f>
        <v>0</v>
      </c>
      <c r="P40" s="687">
        <f>IF(C40="auf selbst bewirtschaft. Flächen",E40*I40*(($F40/365*VLOOKUP(B40,'Daten Tierhaltung'!$B$7:$K$108,9,FALSE))+(($G40/365*VLOOKUP(B40,'Daten Tierhaltung'!$B$7:$K$108,10,FALSE)))),"0")</f>
        <v>0</v>
      </c>
      <c r="Q40" s="687">
        <f t="shared" si="1"/>
        <v>0</v>
      </c>
      <c r="R40" s="687">
        <f t="shared" si="2"/>
        <v>0</v>
      </c>
    </row>
    <row r="41" spans="1:18" x14ac:dyDescent="0.25">
      <c r="A41" s="680">
        <f>VLOOKUP(B41,'Daten Tierhaltung'!$B$7:$C$108,2,FALSE)</f>
        <v>0</v>
      </c>
      <c r="B41" s="685" t="s">
        <v>805</v>
      </c>
      <c r="C41" s="685" t="s">
        <v>1026</v>
      </c>
      <c r="D41" s="1243">
        <v>0</v>
      </c>
      <c r="E41" s="1243">
        <v>0</v>
      </c>
      <c r="F41" s="686">
        <f t="shared" si="3"/>
        <v>365</v>
      </c>
      <c r="G41" s="1243">
        <v>0</v>
      </c>
      <c r="H41" s="1243">
        <v>0</v>
      </c>
      <c r="I41" s="687">
        <f>IF(A41=6,IF(D41&lt;=8000,0.0075*D41+69,0.007*D41+73),IF(A41=7,IF(D41&lt;=8000,0.0075*D41+64,0.0085*D41+56),IF(A41=8,IF(D41&lt;=8000,0.007*D41+61,0.009*D41+44.667),IF(A41=9,IF(D41&lt;=8000,0.0075*D41+55,0.0093*D41+40.833),IF(A41=10,IF(D41&lt;=7000,0.0075*D41+38.5,0.01*D41+21),IF(A41=51,0.0058*D41+7.0627,IF(A41=52,0.0055*D41+6.8356,IF(A41=53,0.0052*D41+6.0136,VLOOKUP(B41,'Daten Tierhaltung'!$B$7:$G$108,4,FALSE)))))))))</f>
        <v>0</v>
      </c>
      <c r="J41" s="687">
        <f>IF(A41=6,IF(D41&lt;=8000,0.0035*D41+15,0.002*D41+27),IF(A41=7,IF(D41&lt;=8000,0.003*D41+19,0.0025*D41+23),IF(A41=8,IF(D41&lt;=8000,0.0025*D41+22,0.0025*D41+22),IF(A41=9,IF(D41&lt;=8000,0.003*D41+18,0.0025*D41+22),IF(A41=10,IF(D41&lt;=7000,0.003*D41+12,0.0045*D41+1.5),IF(A41=51,0.0009*D41+4.1288,IF(A41=52,0.0014*D41+3.0932,IF(A41=53,0.0006*D41+3.3542,VLOOKUP(B41,'Daten Tierhaltung'!$B$7:$G$108,5,FALSE)))))))))</f>
        <v>0</v>
      </c>
      <c r="K41" s="687">
        <f>IF(A41=6,IF(D41&lt;=8000,0.004*D41+110,0.004*D41+110),IF(A41=7,IF(D41&lt;=8000,0.0025*D41+114,0.0045*D41+98),IF(A41=8,IF(D41&lt;=8000,0.007*D41+67,0.004*D41+91),IF(A41=9,IF(D41&lt;=8000,0.006*D41+68,0.0045*D41+80),IF(A41=10,IF(D41&lt;=7000,0.006*D41+54,0.006*D41+54),IF(A41=51,0.0023*D41+3.9271,IF(A41=52,0.0028*D41+3.3915,IF(A41=53,0.0024*D41+3.522,VLOOKUP(B41,'Daten Tierhaltung'!$B$7:$G$108,6,FALSE)))))))))</f>
        <v>0</v>
      </c>
      <c r="L41" s="687" t="str">
        <f>IF(C41="Abgabe an andere Betriebe",E41*I41*(($F41/365*VLOOKUP(B41,'Daten Tierhaltung'!$B$7:$I$108,7,FALSE))+(($G41/365*VLOOKUP(B41,'Daten Tierhaltung'!$B$7:$I$108,8,FALSE)))),"0")</f>
        <v>0</v>
      </c>
      <c r="M41" s="695">
        <f>IF(C41="auf selbst bewirtschaft. Flächen",E41*I41*(($F41/365*VLOOKUP(B41,'Daten Tierhaltung'!$B$7:$I$108,7,FALSE))+(($G41/365*VLOOKUP(B41,'Daten Tierhaltung'!$B$7:$I$108,8,FALSE)))),"0")</f>
        <v>0</v>
      </c>
      <c r="N41" s="682">
        <f>E41*H41/365*VLOOKUP(B41,'Daten Tierhaltung'!$B$7:$I$108,8,FALSE)*I41</f>
        <v>0</v>
      </c>
      <c r="O41" s="689" t="str">
        <f>IF(C41="in eigene Biogasanlage",E41*I41*((0.95*F41/365*VLOOKUP(B41,'Daten Tierhaltung'!$B$7:$I$108,7,FALSE))+((0.95*G41/365*VLOOKUP(B41,'Daten Tierhaltung'!$B$7:$I$108,8,FALSE)))),"0")</f>
        <v>0</v>
      </c>
      <c r="P41" s="687">
        <f>IF(C41="auf selbst bewirtschaft. Flächen",E41*I41*(($F41/365*VLOOKUP(B41,'Daten Tierhaltung'!$B$7:$K$108,9,FALSE))+(($G41/365*VLOOKUP(B41,'Daten Tierhaltung'!$B$7:$K$108,10,FALSE)))),"0")</f>
        <v>0</v>
      </c>
      <c r="Q41" s="687">
        <f t="shared" si="1"/>
        <v>0</v>
      </c>
      <c r="R41" s="687">
        <f t="shared" si="2"/>
        <v>0</v>
      </c>
    </row>
    <row r="42" spans="1:18" x14ac:dyDescent="0.25">
      <c r="A42" s="680">
        <f>VLOOKUP(B42,'Daten Tierhaltung'!$B$7:$C$108,2,FALSE)</f>
        <v>0</v>
      </c>
      <c r="B42" s="685" t="s">
        <v>805</v>
      </c>
      <c r="C42" s="685" t="s">
        <v>1026</v>
      </c>
      <c r="D42" s="1243">
        <v>0</v>
      </c>
      <c r="E42" s="1243">
        <v>0</v>
      </c>
      <c r="F42" s="686">
        <f t="shared" si="3"/>
        <v>365</v>
      </c>
      <c r="G42" s="1243">
        <v>0</v>
      </c>
      <c r="H42" s="1243">
        <v>0</v>
      </c>
      <c r="I42" s="687">
        <f>IF(A42=6,IF(D42&lt;=8000,0.0075*D42+69,0.007*D42+73),IF(A42=7,IF(D42&lt;=8000,0.0075*D42+64,0.0085*D42+56),IF(A42=8,IF(D42&lt;=8000,0.007*D42+61,0.009*D42+44.667),IF(A42=9,IF(D42&lt;=8000,0.0075*D42+55,0.0093*D42+40.833),IF(A42=10,IF(D42&lt;=7000,0.0075*D42+38.5,0.01*D42+21),IF(A42=51,0.0058*D42+7.0627,IF(A42=52,0.0055*D42+6.8356,IF(A42=53,0.0052*D42+6.0136,VLOOKUP(B42,'Daten Tierhaltung'!$B$7:$G$108,4,FALSE)))))))))</f>
        <v>0</v>
      </c>
      <c r="J42" s="687">
        <f>IF(A42=6,IF(D42&lt;=8000,0.0035*D42+15,0.002*D42+27),IF(A42=7,IF(D42&lt;=8000,0.003*D42+19,0.0025*D42+23),IF(A42=8,IF(D42&lt;=8000,0.0025*D42+22,0.0025*D42+22),IF(A42=9,IF(D42&lt;=8000,0.003*D42+18,0.0025*D42+22),IF(A42=10,IF(D42&lt;=7000,0.003*D42+12,0.0045*D42+1.5),IF(A42=51,0.0009*D42+4.1288,IF(A42=52,0.0014*D42+3.0932,IF(A42=53,0.0006*D42+3.3542,VLOOKUP(B42,'Daten Tierhaltung'!$B$7:$G$108,5,FALSE)))))))))</f>
        <v>0</v>
      </c>
      <c r="K42" s="687">
        <f>IF(A42=6,IF(D42&lt;=8000,0.004*D42+110,0.004*D42+110),IF(A42=7,IF(D42&lt;=8000,0.0025*D42+114,0.0045*D42+98),IF(A42=8,IF(D42&lt;=8000,0.007*D42+67,0.004*D42+91),IF(A42=9,IF(D42&lt;=8000,0.006*D42+68,0.0045*D42+80),IF(A42=10,IF(D42&lt;=7000,0.006*D42+54,0.006*D42+54),IF(A42=51,0.0023*D42+3.9271,IF(A42=52,0.0028*D42+3.3915,IF(A42=53,0.0024*D42+3.522,VLOOKUP(B42,'Daten Tierhaltung'!$B$7:$G$108,6,FALSE)))))))))</f>
        <v>0</v>
      </c>
      <c r="L42" s="687" t="str">
        <f>IF(C42="Abgabe an andere Betriebe",E42*I42*(($F42/365*VLOOKUP(B42,'Daten Tierhaltung'!$B$7:$I$108,7,FALSE))+(($G42/365*VLOOKUP(B42,'Daten Tierhaltung'!$B$7:$I$108,8,FALSE)))),"0")</f>
        <v>0</v>
      </c>
      <c r="M42" s="695">
        <f>IF(C42="auf selbst bewirtschaft. Flächen",E42*I42*(($F42/365*VLOOKUP(B42,'Daten Tierhaltung'!$B$7:$I$108,7,FALSE))+(($G42/365*VLOOKUP(B42,'Daten Tierhaltung'!$B$7:$I$108,8,FALSE)))),"0")</f>
        <v>0</v>
      </c>
      <c r="N42" s="682">
        <f>E42*H42/365*VLOOKUP(B42,'Daten Tierhaltung'!$B$7:$I$108,8,FALSE)*I42</f>
        <v>0</v>
      </c>
      <c r="O42" s="689" t="str">
        <f>IF(C42="in eigene Biogasanlage",E42*I42*((0.95*F42/365*VLOOKUP(B42,'Daten Tierhaltung'!$B$7:$I$108,7,FALSE))+((0.95*G42/365*VLOOKUP(B42,'Daten Tierhaltung'!$B$7:$I$108,8,FALSE)))),"0")</f>
        <v>0</v>
      </c>
      <c r="P42" s="687">
        <f>IF(C42="auf selbst bewirtschaft. Flächen",E42*I42*(($F42/365*VLOOKUP(B42,'Daten Tierhaltung'!$B$7:$K$108,9,FALSE))+(($G42/365*VLOOKUP(B42,'Daten Tierhaltung'!$B$7:$K$108,10,FALSE)))),"0")</f>
        <v>0</v>
      </c>
      <c r="Q42" s="687">
        <f t="shared" si="1"/>
        <v>0</v>
      </c>
      <c r="R42" s="687">
        <f t="shared" si="2"/>
        <v>0</v>
      </c>
    </row>
    <row r="43" spans="1:18" s="13" customFormat="1" ht="19.5" customHeight="1" x14ac:dyDescent="0.25">
      <c r="A43" s="688"/>
      <c r="B43" s="285" t="s">
        <v>292</v>
      </c>
      <c r="C43" s="818"/>
      <c r="D43" s="818"/>
      <c r="H43" s="112"/>
      <c r="I43" s="112"/>
      <c r="J43" s="112"/>
      <c r="K43" s="112"/>
      <c r="L43" s="689">
        <f>SUM(L11:L42)</f>
        <v>0</v>
      </c>
      <c r="M43" s="689">
        <f>SUM(M11:M42)</f>
        <v>26066.466986301366</v>
      </c>
      <c r="N43" s="689">
        <f>SUM(N11:N42)</f>
        <v>1472.8767123287669</v>
      </c>
      <c r="O43" s="689">
        <f>SUM(O11:O42)</f>
        <v>0</v>
      </c>
      <c r="P43" s="689">
        <f t="shared" ref="P43:R43" si="4">SUM(P11:P42)</f>
        <v>14604.102082191783</v>
      </c>
      <c r="Q43" s="689">
        <f t="shared" si="4"/>
        <v>10950.547945205479</v>
      </c>
      <c r="R43" s="689">
        <f t="shared" si="4"/>
        <v>31416.605783866056</v>
      </c>
    </row>
    <row r="44" spans="1:18" x14ac:dyDescent="0.25">
      <c r="C44" s="690"/>
      <c r="D44" s="690"/>
      <c r="I44" s="691"/>
      <c r="J44" s="691"/>
      <c r="K44" s="691"/>
      <c r="L44" s="691"/>
      <c r="M44" s="691"/>
      <c r="N44" s="692"/>
      <c r="O44" s="692"/>
    </row>
    <row r="45" spans="1:18" s="13" customFormat="1" ht="13.5" customHeight="1" x14ac:dyDescent="0.25">
      <c r="A45" s="688"/>
      <c r="C45" s="693"/>
      <c r="D45" s="693"/>
      <c r="I45" s="112"/>
      <c r="J45" s="112"/>
      <c r="K45" s="112"/>
      <c r="L45" s="112"/>
      <c r="M45" s="112"/>
      <c r="N45" s="692"/>
      <c r="O45" s="692"/>
      <c r="P45" s="112"/>
      <c r="Q45" s="112"/>
      <c r="R45" s="112"/>
    </row>
    <row r="46" spans="1:18" s="665" customFormat="1" ht="19.5" customHeight="1" x14ac:dyDescent="0.25">
      <c r="A46" s="694"/>
      <c r="B46" s="1558" t="s">
        <v>1242</v>
      </c>
      <c r="C46" s="1463"/>
      <c r="D46" s="1463"/>
      <c r="E46" s="1463"/>
      <c r="F46" s="1463"/>
      <c r="G46" s="1463"/>
      <c r="H46" s="1463"/>
      <c r="I46" s="1463"/>
      <c r="J46" s="1463"/>
      <c r="K46" s="1463"/>
      <c r="L46" s="1463"/>
      <c r="M46" s="1463"/>
      <c r="N46" s="1463"/>
      <c r="O46" s="1463"/>
      <c r="P46" s="1463"/>
      <c r="Q46" s="1463"/>
      <c r="R46" s="1463"/>
    </row>
    <row r="47" spans="1:18" x14ac:dyDescent="0.25">
      <c r="B47" s="1463"/>
      <c r="C47" s="1463"/>
      <c r="D47" s="1463"/>
      <c r="E47" s="1463"/>
      <c r="F47" s="1463"/>
      <c r="G47" s="1463"/>
      <c r="H47" s="1463"/>
      <c r="I47" s="1463"/>
      <c r="J47" s="1463"/>
      <c r="K47" s="1463"/>
      <c r="L47" s="1463"/>
      <c r="M47" s="1463"/>
      <c r="N47" s="1463"/>
      <c r="O47" s="1463"/>
      <c r="P47" s="1463"/>
      <c r="Q47" s="1463"/>
      <c r="R47" s="1463"/>
    </row>
    <row r="48" spans="1:18" ht="11.25" customHeight="1" x14ac:dyDescent="0.25">
      <c r="B48" s="700"/>
    </row>
    <row r="49" spans="2:18" x14ac:dyDescent="0.25">
      <c r="B49" s="1558" t="s">
        <v>1122</v>
      </c>
      <c r="C49" s="1463"/>
      <c r="D49" s="1463"/>
      <c r="E49" s="1463"/>
      <c r="F49" s="1463"/>
      <c r="G49" s="1463"/>
      <c r="H49" s="1463"/>
      <c r="I49" s="1463"/>
      <c r="J49" s="1463"/>
      <c r="K49" s="1463"/>
      <c r="L49" s="1463"/>
      <c r="M49" s="1463"/>
      <c r="N49" s="1463"/>
      <c r="O49" s="1463"/>
      <c r="P49" s="1463"/>
      <c r="Q49" s="1463"/>
      <c r="R49" s="1463"/>
    </row>
    <row r="50" spans="2:18" ht="17.25" customHeight="1" x14ac:dyDescent="0.25">
      <c r="B50" s="1463"/>
      <c r="C50" s="1463"/>
      <c r="D50" s="1463"/>
      <c r="E50" s="1463"/>
      <c r="F50" s="1463"/>
      <c r="G50" s="1463"/>
      <c r="H50" s="1463"/>
      <c r="I50" s="1463"/>
      <c r="J50" s="1463"/>
      <c r="K50" s="1463"/>
      <c r="L50" s="1463"/>
      <c r="M50" s="1463"/>
      <c r="N50" s="1463"/>
      <c r="O50" s="1463"/>
      <c r="P50" s="1463"/>
      <c r="Q50" s="1463"/>
      <c r="R50" s="1463"/>
    </row>
    <row r="51" spans="2:18" ht="18.75" x14ac:dyDescent="0.25">
      <c r="B51" s="700"/>
    </row>
  </sheetData>
  <sheetProtection sheet="1" formatCells="0" formatColumns="0" formatRows="0" selectLockedCells="1"/>
  <mergeCells count="19">
    <mergeCell ref="B46:R47"/>
    <mergeCell ref="B49:R50"/>
    <mergeCell ref="J2:L2"/>
    <mergeCell ref="J7:K7"/>
    <mergeCell ref="F3:H8"/>
    <mergeCell ref="B1:D2"/>
    <mergeCell ref="S9:S10"/>
    <mergeCell ref="A3:A8"/>
    <mergeCell ref="B3:B8"/>
    <mergeCell ref="C3:D8"/>
    <mergeCell ref="E3:E8"/>
    <mergeCell ref="I9:K9"/>
    <mergeCell ref="L9:O9"/>
    <mergeCell ref="P9:R9"/>
    <mergeCell ref="B9:B10"/>
    <mergeCell ref="C9:C10"/>
    <mergeCell ref="D9:D10"/>
    <mergeCell ref="E9:E10"/>
    <mergeCell ref="F9:H9"/>
  </mergeCells>
  <dataValidations count="2">
    <dataValidation type="list" allowBlank="1" showInputMessage="1" showErrorMessage="1" sqref="C11:C42" xr:uid="{00000000-0002-0000-0D00-000000000000}">
      <formula1>"auf selbst bewirtschaft. Flächen, in eigene Biogasanlage, Abgabe an andere Betriebe"</formula1>
    </dataValidation>
    <dataValidation type="list" allowBlank="1" showInputMessage="1" showErrorMessage="1" sqref="B11:B42" xr:uid="{00000000-0002-0000-0D00-000001000000}">
      <formula1>Tierkategorien</formula1>
    </dataValidation>
  </dataValidations>
  <pageMargins left="0.7" right="0.7" top="0.78740157499999996" bottom="0.78740157499999996" header="0.3" footer="0.3"/>
  <pageSetup paperSize="9" scale="59" orientation="portrait" r:id="rId1"/>
  <colBreaks count="1" manualBreakCount="1">
    <brk id="8"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9">
    <tabColor theme="2" tint="-0.499984740745262"/>
  </sheetPr>
  <dimension ref="A1:T77"/>
  <sheetViews>
    <sheetView topLeftCell="A4" zoomScale="90" zoomScaleNormal="90" workbookViewId="0">
      <selection activeCell="A7" sqref="A7"/>
    </sheetView>
  </sheetViews>
  <sheetFormatPr baseColWidth="10" defaultRowHeight="15" x14ac:dyDescent="0.25"/>
  <cols>
    <col min="1" max="1" width="29.140625" style="80" customWidth="1"/>
    <col min="2" max="2" width="45.140625" style="80" customWidth="1"/>
    <col min="3" max="3" width="16.7109375" style="80" customWidth="1"/>
    <col min="4" max="6" width="11" style="80" customWidth="1"/>
    <col min="7" max="7" width="16" style="80" bestFit="1" customWidth="1"/>
    <col min="8" max="8" width="10.140625" style="80" customWidth="1"/>
    <col min="9" max="10" width="9.140625" style="80" customWidth="1"/>
    <col min="11" max="11" width="12.28515625" style="80" customWidth="1"/>
    <col min="12" max="16384" width="11.42578125" style="80"/>
  </cols>
  <sheetData>
    <row r="1" spans="1:20" ht="13.5" customHeight="1" x14ac:dyDescent="0.25"/>
    <row r="2" spans="1:20" ht="61.5" customHeight="1" x14ac:dyDescent="0.25">
      <c r="A2" s="1423" t="s">
        <v>1219</v>
      </c>
      <c r="B2" s="1423"/>
      <c r="C2" s="1423"/>
      <c r="D2" s="1293" t="s">
        <v>1215</v>
      </c>
      <c r="E2" s="1293"/>
      <c r="F2" s="1293"/>
      <c r="G2" s="1293"/>
      <c r="H2" s="1293"/>
      <c r="I2" s="1293"/>
      <c r="J2" s="1293"/>
      <c r="K2" s="1293"/>
    </row>
    <row r="3" spans="1:20" ht="61.5" customHeight="1" x14ac:dyDescent="0.25">
      <c r="A3" s="1423"/>
      <c r="B3" s="1423"/>
      <c r="C3" s="1423"/>
      <c r="D3" s="1293"/>
      <c r="E3" s="1293"/>
      <c r="F3" s="1293"/>
      <c r="G3" s="1293"/>
      <c r="H3" s="1293"/>
      <c r="I3" s="1293"/>
      <c r="J3" s="1293"/>
      <c r="K3" s="1293"/>
    </row>
    <row r="4" spans="1:20" ht="46.5" customHeight="1" x14ac:dyDescent="0.25">
      <c r="A4" s="1488" t="s">
        <v>1246</v>
      </c>
      <c r="B4" s="1286"/>
      <c r="C4" s="1286"/>
    </row>
    <row r="5" spans="1:20" s="112" customFormat="1" ht="36" customHeight="1" x14ac:dyDescent="0.25">
      <c r="A5" s="182"/>
      <c r="B5" s="182"/>
      <c r="C5" s="182"/>
      <c r="D5" s="1559" t="s">
        <v>1027</v>
      </c>
      <c r="E5" s="1559"/>
      <c r="F5" s="1559"/>
      <c r="G5" s="285" t="s">
        <v>1267</v>
      </c>
      <c r="H5" s="1319" t="s">
        <v>1252</v>
      </c>
      <c r="I5" s="1319"/>
      <c r="J5" s="1319"/>
      <c r="K5" s="1286"/>
      <c r="L5" s="80"/>
      <c r="N5" s="123"/>
      <c r="O5" s="123"/>
      <c r="P5" s="123"/>
      <c r="Q5" s="123"/>
      <c r="R5" s="123"/>
      <c r="S5" s="123"/>
      <c r="T5" s="123"/>
    </row>
    <row r="6" spans="1:20" ht="49.5" customHeight="1" x14ac:dyDescent="0.25">
      <c r="A6" s="964" t="s">
        <v>1138</v>
      </c>
      <c r="B6" s="312" t="s">
        <v>1220</v>
      </c>
      <c r="C6" s="965" t="s">
        <v>1029</v>
      </c>
      <c r="D6" s="285" t="s">
        <v>177</v>
      </c>
      <c r="E6" s="285" t="s">
        <v>1020</v>
      </c>
      <c r="F6" s="285" t="s">
        <v>1021</v>
      </c>
      <c r="G6" s="966" t="s">
        <v>1030</v>
      </c>
      <c r="H6" s="285" t="s">
        <v>177</v>
      </c>
      <c r="I6" s="285" t="s">
        <v>1020</v>
      </c>
      <c r="J6" s="285" t="s">
        <v>1021</v>
      </c>
      <c r="K6" s="967" t="s">
        <v>1136</v>
      </c>
      <c r="N6" s="123"/>
      <c r="O6" s="123"/>
      <c r="P6" s="123"/>
      <c r="Q6" s="123"/>
      <c r="R6" s="123"/>
      <c r="S6" s="123"/>
      <c r="T6" s="123"/>
    </row>
    <row r="7" spans="1:20" ht="15" customHeight="1" x14ac:dyDescent="0.25">
      <c r="A7" s="696"/>
      <c r="B7" s="685" t="s">
        <v>805</v>
      </c>
      <c r="C7" s="697">
        <v>0</v>
      </c>
      <c r="D7" s="1008">
        <f>VLOOKUP($B7,Düngemittel!$B$6:$E$64,2,FALSE)</f>
        <v>0</v>
      </c>
      <c r="E7" s="1008">
        <f>VLOOKUP($B7,Düngemittel!$B$6:$E$64,4,FALSE)</f>
        <v>0</v>
      </c>
      <c r="F7" s="1008">
        <f>VLOOKUP($B7,Düngemittel!$B$6:$F$64,5,FALSE)</f>
        <v>0</v>
      </c>
      <c r="G7" s="687">
        <f>C7*D7</f>
        <v>0</v>
      </c>
      <c r="H7" s="687">
        <f>D7*C7*K7/100</f>
        <v>0</v>
      </c>
      <c r="I7" s="687">
        <f>C7*E7</f>
        <v>0</v>
      </c>
      <c r="J7" s="687">
        <f>C7*F7</f>
        <v>0</v>
      </c>
      <c r="K7" s="1009">
        <f>VLOOKUP(B7,Düngemittel!$B$6:$E$64,3,FALSE)</f>
        <v>0</v>
      </c>
      <c r="N7" s="123"/>
      <c r="O7" s="123"/>
      <c r="P7" s="123"/>
      <c r="Q7" s="123"/>
      <c r="R7" s="123"/>
      <c r="S7" s="123"/>
      <c r="T7" s="123"/>
    </row>
    <row r="8" spans="1:20" ht="15" customHeight="1" x14ac:dyDescent="0.25">
      <c r="A8" s="696"/>
      <c r="B8" s="685" t="s">
        <v>805</v>
      </c>
      <c r="C8" s="697">
        <v>0</v>
      </c>
      <c r="D8" s="1008">
        <f>VLOOKUP($B8,Düngemittel!$B$6:$E$64,2,FALSE)</f>
        <v>0</v>
      </c>
      <c r="E8" s="1008">
        <f>VLOOKUP($B8,Düngemittel!$B$6:$E$64,4,FALSE)</f>
        <v>0</v>
      </c>
      <c r="F8" s="1008">
        <f>VLOOKUP($B8,Düngemittel!$B$6:$F$64,5,FALSE)</f>
        <v>0</v>
      </c>
      <c r="G8" s="687">
        <f t="shared" ref="G8:G26" si="0">C8*D8</f>
        <v>0</v>
      </c>
      <c r="H8" s="687">
        <f>D8*C8*K8/100</f>
        <v>0</v>
      </c>
      <c r="I8" s="687">
        <f t="shared" ref="I8:I26" si="1">C8*E8</f>
        <v>0</v>
      </c>
      <c r="J8" s="687">
        <f t="shared" ref="J8:J26" si="2">C8*F8</f>
        <v>0</v>
      </c>
      <c r="K8" s="1009">
        <f>VLOOKUP(B8,Düngemittel!$B$6:$E$64,3,FALSE)</f>
        <v>0</v>
      </c>
      <c r="N8" s="123"/>
      <c r="O8" s="123"/>
      <c r="P8" s="123"/>
      <c r="Q8" s="123"/>
      <c r="R8" s="123"/>
      <c r="S8" s="123"/>
      <c r="T8" s="123"/>
    </row>
    <row r="9" spans="1:20" ht="15" customHeight="1" x14ac:dyDescent="0.25">
      <c r="A9" s="696"/>
      <c r="B9" s="685" t="s">
        <v>805</v>
      </c>
      <c r="C9" s="697">
        <v>0</v>
      </c>
      <c r="D9" s="1008">
        <f>VLOOKUP($B9,Düngemittel!$B$6:$E$64,2,FALSE)</f>
        <v>0</v>
      </c>
      <c r="E9" s="1008">
        <f>VLOOKUP($B9,Düngemittel!$B$6:$E$64,4,FALSE)</f>
        <v>0</v>
      </c>
      <c r="F9" s="1008">
        <f>VLOOKUP($B9,Düngemittel!$B$6:$F$64,5,FALSE)</f>
        <v>0</v>
      </c>
      <c r="G9" s="687">
        <f t="shared" si="0"/>
        <v>0</v>
      </c>
      <c r="H9" s="687">
        <f>D9*C9*K9/100</f>
        <v>0</v>
      </c>
      <c r="I9" s="687">
        <f t="shared" si="1"/>
        <v>0</v>
      </c>
      <c r="J9" s="687">
        <f t="shared" si="2"/>
        <v>0</v>
      </c>
      <c r="K9" s="1009">
        <f>VLOOKUP(B9,Düngemittel!$B$6:$E$64,3,FALSE)</f>
        <v>0</v>
      </c>
      <c r="N9" s="123"/>
      <c r="O9" s="123"/>
      <c r="P9" s="123"/>
      <c r="Q9" s="123"/>
      <c r="R9" s="123"/>
      <c r="S9" s="123"/>
      <c r="T9" s="123"/>
    </row>
    <row r="10" spans="1:20" x14ac:dyDescent="0.25">
      <c r="A10" s="696"/>
      <c r="B10" s="685" t="s">
        <v>805</v>
      </c>
      <c r="C10" s="697">
        <v>0</v>
      </c>
      <c r="D10" s="1008">
        <f>VLOOKUP($B10,Düngemittel!$B$6:$E$64,2,FALSE)</f>
        <v>0</v>
      </c>
      <c r="E10" s="1008">
        <f>VLOOKUP($B10,Düngemittel!$B$6:$E$64,4,FALSE)</f>
        <v>0</v>
      </c>
      <c r="F10" s="1008">
        <f>VLOOKUP($B10,Düngemittel!$B$6:$F$64,5,FALSE)</f>
        <v>0</v>
      </c>
      <c r="G10" s="687">
        <f t="shared" si="0"/>
        <v>0</v>
      </c>
      <c r="H10" s="687">
        <f t="shared" ref="H10:H26" si="3">D10*C10*K10/100</f>
        <v>0</v>
      </c>
      <c r="I10" s="687">
        <f t="shared" si="1"/>
        <v>0</v>
      </c>
      <c r="J10" s="687">
        <f t="shared" si="2"/>
        <v>0</v>
      </c>
      <c r="K10" s="1009">
        <f>VLOOKUP(B10,Düngemittel!$B$6:$E$64,3,FALSE)</f>
        <v>0</v>
      </c>
    </row>
    <row r="11" spans="1:20" x14ac:dyDescent="0.25">
      <c r="A11" s="696"/>
      <c r="B11" s="685" t="s">
        <v>805</v>
      </c>
      <c r="C11" s="697">
        <v>0</v>
      </c>
      <c r="D11" s="1008">
        <f>VLOOKUP($B11,Düngemittel!$B$6:$E$64,2,FALSE)</f>
        <v>0</v>
      </c>
      <c r="E11" s="1008">
        <f>VLOOKUP($B11,Düngemittel!$B$6:$E$64,4,FALSE)</f>
        <v>0</v>
      </c>
      <c r="F11" s="1008">
        <f>VLOOKUP($B11,Düngemittel!$B$6:$F$64,5,FALSE)</f>
        <v>0</v>
      </c>
      <c r="G11" s="687">
        <f t="shared" si="0"/>
        <v>0</v>
      </c>
      <c r="H11" s="687">
        <f t="shared" si="3"/>
        <v>0</v>
      </c>
      <c r="I11" s="687">
        <f t="shared" si="1"/>
        <v>0</v>
      </c>
      <c r="J11" s="687">
        <f t="shared" si="2"/>
        <v>0</v>
      </c>
      <c r="K11" s="1009">
        <f>VLOOKUP(B11,Düngemittel!$B$6:$E$64,3,FALSE)</f>
        <v>0</v>
      </c>
    </row>
    <row r="12" spans="1:20" x14ac:dyDescent="0.25">
      <c r="A12" s="696"/>
      <c r="B12" s="685" t="s">
        <v>805</v>
      </c>
      <c r="C12" s="697">
        <v>0</v>
      </c>
      <c r="D12" s="1008">
        <f>VLOOKUP($B12,Düngemittel!$B$6:$E$64,2,FALSE)</f>
        <v>0</v>
      </c>
      <c r="E12" s="1008">
        <f>VLOOKUP($B12,Düngemittel!$B$6:$E$64,4,FALSE)</f>
        <v>0</v>
      </c>
      <c r="F12" s="1008">
        <f>VLOOKUP($B12,Düngemittel!$B$6:$F$64,5,FALSE)</f>
        <v>0</v>
      </c>
      <c r="G12" s="687">
        <f t="shared" si="0"/>
        <v>0</v>
      </c>
      <c r="H12" s="687">
        <f t="shared" si="3"/>
        <v>0</v>
      </c>
      <c r="I12" s="687">
        <f t="shared" si="1"/>
        <v>0</v>
      </c>
      <c r="J12" s="687">
        <f t="shared" si="2"/>
        <v>0</v>
      </c>
      <c r="K12" s="1009">
        <f>VLOOKUP(B12,Düngemittel!$B$6:$E$64,3,FALSE)</f>
        <v>0</v>
      </c>
    </row>
    <row r="13" spans="1:20" x14ac:dyDescent="0.25">
      <c r="A13" s="696"/>
      <c r="B13" s="685" t="s">
        <v>805</v>
      </c>
      <c r="C13" s="697">
        <v>0</v>
      </c>
      <c r="D13" s="1008">
        <f>VLOOKUP($B13,Düngemittel!$B$6:$E$64,2,FALSE)</f>
        <v>0</v>
      </c>
      <c r="E13" s="1008">
        <f>VLOOKUP($B13,Düngemittel!$B$6:$E$64,4,FALSE)</f>
        <v>0</v>
      </c>
      <c r="F13" s="1008">
        <f>VLOOKUP($B13,Düngemittel!$B$6:$F$64,5,FALSE)</f>
        <v>0</v>
      </c>
      <c r="G13" s="687">
        <f t="shared" si="0"/>
        <v>0</v>
      </c>
      <c r="H13" s="687">
        <f t="shared" si="3"/>
        <v>0</v>
      </c>
      <c r="I13" s="687">
        <f t="shared" si="1"/>
        <v>0</v>
      </c>
      <c r="J13" s="687">
        <f t="shared" si="2"/>
        <v>0</v>
      </c>
      <c r="K13" s="1009">
        <f>VLOOKUP(B13,Düngemittel!$B$6:$E$64,3,FALSE)</f>
        <v>0</v>
      </c>
    </row>
    <row r="14" spans="1:20" x14ac:dyDescent="0.25">
      <c r="A14" s="696"/>
      <c r="B14" s="685" t="s">
        <v>805</v>
      </c>
      <c r="C14" s="697">
        <v>0</v>
      </c>
      <c r="D14" s="1008">
        <f>VLOOKUP($B14,Düngemittel!$B$6:$E$64,2,FALSE)</f>
        <v>0</v>
      </c>
      <c r="E14" s="1008">
        <f>VLOOKUP($B14,Düngemittel!$B$6:$E$64,4,FALSE)</f>
        <v>0</v>
      </c>
      <c r="F14" s="1008">
        <f>VLOOKUP($B14,Düngemittel!$B$6:$F$64,5,FALSE)</f>
        <v>0</v>
      </c>
      <c r="G14" s="687">
        <f t="shared" si="0"/>
        <v>0</v>
      </c>
      <c r="H14" s="687">
        <f t="shared" si="3"/>
        <v>0</v>
      </c>
      <c r="I14" s="687">
        <f t="shared" si="1"/>
        <v>0</v>
      </c>
      <c r="J14" s="687">
        <f t="shared" si="2"/>
        <v>0</v>
      </c>
      <c r="K14" s="1009">
        <f>VLOOKUP(B14,Düngemittel!$B$6:$E$64,3,FALSE)</f>
        <v>0</v>
      </c>
    </row>
    <row r="15" spans="1:20" x14ac:dyDescent="0.25">
      <c r="A15" s="696"/>
      <c r="B15" s="685" t="s">
        <v>805</v>
      </c>
      <c r="C15" s="697">
        <v>0</v>
      </c>
      <c r="D15" s="1008">
        <f>VLOOKUP($B15,Düngemittel!$B$6:$E$64,2,FALSE)</f>
        <v>0</v>
      </c>
      <c r="E15" s="1008">
        <f>VLOOKUP($B15,Düngemittel!$B$6:$E$64,4,FALSE)</f>
        <v>0</v>
      </c>
      <c r="F15" s="1008">
        <f>VLOOKUP($B15,Düngemittel!$B$6:$F$64,5,FALSE)</f>
        <v>0</v>
      </c>
      <c r="G15" s="687">
        <f t="shared" si="0"/>
        <v>0</v>
      </c>
      <c r="H15" s="687">
        <f t="shared" si="3"/>
        <v>0</v>
      </c>
      <c r="I15" s="687">
        <f t="shared" si="1"/>
        <v>0</v>
      </c>
      <c r="J15" s="687">
        <f t="shared" si="2"/>
        <v>0</v>
      </c>
      <c r="K15" s="1009">
        <f>VLOOKUP(B15,Düngemittel!$B$6:$E$64,3,FALSE)</f>
        <v>0</v>
      </c>
    </row>
    <row r="16" spans="1:20" x14ac:dyDescent="0.25">
      <c r="A16" s="696"/>
      <c r="B16" s="685" t="s">
        <v>805</v>
      </c>
      <c r="C16" s="697">
        <v>0</v>
      </c>
      <c r="D16" s="1008">
        <f>VLOOKUP($B16,Düngemittel!$B$6:$E$64,2,FALSE)</f>
        <v>0</v>
      </c>
      <c r="E16" s="1008">
        <f>VLOOKUP($B16,Düngemittel!$B$6:$E$64,4,FALSE)</f>
        <v>0</v>
      </c>
      <c r="F16" s="1008">
        <f>VLOOKUP($B16,Düngemittel!$B$6:$F$64,5,FALSE)</f>
        <v>0</v>
      </c>
      <c r="G16" s="687">
        <f t="shared" si="0"/>
        <v>0</v>
      </c>
      <c r="H16" s="687">
        <f t="shared" si="3"/>
        <v>0</v>
      </c>
      <c r="I16" s="687">
        <f t="shared" si="1"/>
        <v>0</v>
      </c>
      <c r="J16" s="687">
        <f t="shared" si="2"/>
        <v>0</v>
      </c>
      <c r="K16" s="1009">
        <f>VLOOKUP(B16,Düngemittel!$B$6:$E$64,3,FALSE)</f>
        <v>0</v>
      </c>
    </row>
    <row r="17" spans="1:11" x14ac:dyDescent="0.25">
      <c r="A17" s="696"/>
      <c r="B17" s="685" t="s">
        <v>805</v>
      </c>
      <c r="C17" s="697">
        <v>0</v>
      </c>
      <c r="D17" s="1008">
        <f>VLOOKUP($B17,Düngemittel!$B$6:$E$64,2,FALSE)</f>
        <v>0</v>
      </c>
      <c r="E17" s="1008">
        <f>VLOOKUP($B17,Düngemittel!$B$6:$E$64,4,FALSE)</f>
        <v>0</v>
      </c>
      <c r="F17" s="1008">
        <f>VLOOKUP($B17,Düngemittel!$B$6:$F$64,5,FALSE)</f>
        <v>0</v>
      </c>
      <c r="G17" s="687">
        <f t="shared" si="0"/>
        <v>0</v>
      </c>
      <c r="H17" s="687">
        <f t="shared" si="3"/>
        <v>0</v>
      </c>
      <c r="I17" s="687">
        <f t="shared" si="1"/>
        <v>0</v>
      </c>
      <c r="J17" s="687">
        <f t="shared" si="2"/>
        <v>0</v>
      </c>
      <c r="K17" s="1009">
        <f>VLOOKUP(B17,Düngemittel!$B$6:$E$64,3,FALSE)</f>
        <v>0</v>
      </c>
    </row>
    <row r="18" spans="1:11" x14ac:dyDescent="0.25">
      <c r="A18" s="696"/>
      <c r="B18" s="685" t="s">
        <v>805</v>
      </c>
      <c r="C18" s="697">
        <v>0</v>
      </c>
      <c r="D18" s="1008">
        <f>VLOOKUP($B18,Düngemittel!$B$6:$E$64,2,FALSE)</f>
        <v>0</v>
      </c>
      <c r="E18" s="1008">
        <f>VLOOKUP($B18,Düngemittel!$B$6:$E$64,4,FALSE)</f>
        <v>0</v>
      </c>
      <c r="F18" s="1008">
        <f>VLOOKUP($B18,Düngemittel!$B$6:$F$64,5,FALSE)</f>
        <v>0</v>
      </c>
      <c r="G18" s="687">
        <f t="shared" si="0"/>
        <v>0</v>
      </c>
      <c r="H18" s="687">
        <f t="shared" si="3"/>
        <v>0</v>
      </c>
      <c r="I18" s="687">
        <f t="shared" si="1"/>
        <v>0</v>
      </c>
      <c r="J18" s="687">
        <f t="shared" si="2"/>
        <v>0</v>
      </c>
      <c r="K18" s="1009">
        <f>VLOOKUP(B18,Düngemittel!$B$6:$E$64,3,FALSE)</f>
        <v>0</v>
      </c>
    </row>
    <row r="19" spans="1:11" x14ac:dyDescent="0.25">
      <c r="A19" s="696"/>
      <c r="B19" s="685" t="s">
        <v>805</v>
      </c>
      <c r="C19" s="697">
        <v>0</v>
      </c>
      <c r="D19" s="1008">
        <f>VLOOKUP($B19,Düngemittel!$B$6:$E$64,2,FALSE)</f>
        <v>0</v>
      </c>
      <c r="E19" s="1008">
        <f>VLOOKUP($B19,Düngemittel!$B$6:$E$64,4,FALSE)</f>
        <v>0</v>
      </c>
      <c r="F19" s="1008">
        <f>VLOOKUP($B19,Düngemittel!$B$6:$F$64,5,FALSE)</f>
        <v>0</v>
      </c>
      <c r="G19" s="687">
        <f t="shared" si="0"/>
        <v>0</v>
      </c>
      <c r="H19" s="687">
        <f t="shared" si="3"/>
        <v>0</v>
      </c>
      <c r="I19" s="687">
        <f t="shared" si="1"/>
        <v>0</v>
      </c>
      <c r="J19" s="687">
        <f t="shared" si="2"/>
        <v>0</v>
      </c>
      <c r="K19" s="1009">
        <f>VLOOKUP(B19,Düngemittel!$B$6:$E$64,3,FALSE)</f>
        <v>0</v>
      </c>
    </row>
    <row r="20" spans="1:11" x14ac:dyDescent="0.25">
      <c r="A20" s="696"/>
      <c r="B20" s="685" t="s">
        <v>805</v>
      </c>
      <c r="C20" s="697">
        <v>0</v>
      </c>
      <c r="D20" s="1008">
        <f>VLOOKUP($B20,Düngemittel!$B$6:$E$64,2,FALSE)</f>
        <v>0</v>
      </c>
      <c r="E20" s="1008">
        <f>VLOOKUP($B20,Düngemittel!$B$6:$E$64,4,FALSE)</f>
        <v>0</v>
      </c>
      <c r="F20" s="1008">
        <f>VLOOKUP($B20,Düngemittel!$B$6:$F$64,5,FALSE)</f>
        <v>0</v>
      </c>
      <c r="G20" s="687">
        <f t="shared" si="0"/>
        <v>0</v>
      </c>
      <c r="H20" s="687">
        <f t="shared" si="3"/>
        <v>0</v>
      </c>
      <c r="I20" s="687">
        <f t="shared" si="1"/>
        <v>0</v>
      </c>
      <c r="J20" s="687">
        <f t="shared" si="2"/>
        <v>0</v>
      </c>
      <c r="K20" s="1009">
        <f>VLOOKUP(B20,Düngemittel!$B$6:$E$64,3,FALSE)</f>
        <v>0</v>
      </c>
    </row>
    <row r="21" spans="1:11" x14ac:dyDescent="0.25">
      <c r="A21" s="696"/>
      <c r="B21" s="685" t="s">
        <v>805</v>
      </c>
      <c r="C21" s="697">
        <v>0</v>
      </c>
      <c r="D21" s="1008">
        <f>VLOOKUP($B21,Düngemittel!$B$6:$E$64,2,FALSE)</f>
        <v>0</v>
      </c>
      <c r="E21" s="1008">
        <f>VLOOKUP($B21,Düngemittel!$B$6:$E$64,4,FALSE)</f>
        <v>0</v>
      </c>
      <c r="F21" s="1008">
        <f>VLOOKUP($B21,Düngemittel!$B$6:$F$64,5,FALSE)</f>
        <v>0</v>
      </c>
      <c r="G21" s="687">
        <f t="shared" si="0"/>
        <v>0</v>
      </c>
      <c r="H21" s="687">
        <f t="shared" si="3"/>
        <v>0</v>
      </c>
      <c r="I21" s="687">
        <f t="shared" si="1"/>
        <v>0</v>
      </c>
      <c r="J21" s="687">
        <f t="shared" si="2"/>
        <v>0</v>
      </c>
      <c r="K21" s="1009">
        <f>VLOOKUP(B21,Düngemittel!$B$6:$E$64,3,FALSE)</f>
        <v>0</v>
      </c>
    </row>
    <row r="22" spans="1:11" x14ac:dyDescent="0.25">
      <c r="A22" s="696"/>
      <c r="B22" s="685" t="s">
        <v>805</v>
      </c>
      <c r="C22" s="697">
        <v>0</v>
      </c>
      <c r="D22" s="1008">
        <f>VLOOKUP($B22,Düngemittel!$B$6:$E$64,2,FALSE)</f>
        <v>0</v>
      </c>
      <c r="E22" s="1008">
        <f>VLOOKUP($B22,Düngemittel!$B$6:$E$64,4,FALSE)</f>
        <v>0</v>
      </c>
      <c r="F22" s="1008">
        <f>VLOOKUP($B22,Düngemittel!$B$6:$F$64,5,FALSE)</f>
        <v>0</v>
      </c>
      <c r="G22" s="687">
        <f t="shared" si="0"/>
        <v>0</v>
      </c>
      <c r="H22" s="687">
        <f t="shared" si="3"/>
        <v>0</v>
      </c>
      <c r="I22" s="687">
        <f t="shared" si="1"/>
        <v>0</v>
      </c>
      <c r="J22" s="687">
        <f t="shared" si="2"/>
        <v>0</v>
      </c>
      <c r="K22" s="1009">
        <f>VLOOKUP(B22,Düngemittel!$B$6:$E$64,3,FALSE)</f>
        <v>0</v>
      </c>
    </row>
    <row r="23" spans="1:11" x14ac:dyDescent="0.25">
      <c r="A23" s="696"/>
      <c r="B23" s="685" t="s">
        <v>805</v>
      </c>
      <c r="C23" s="697">
        <v>0</v>
      </c>
      <c r="D23" s="1008">
        <f>VLOOKUP($B23,Düngemittel!$B$6:$E$64,2,FALSE)</f>
        <v>0</v>
      </c>
      <c r="E23" s="1008">
        <f>VLOOKUP($B23,Düngemittel!$B$6:$E$64,4,FALSE)</f>
        <v>0</v>
      </c>
      <c r="F23" s="1008">
        <f>VLOOKUP($B23,Düngemittel!$B$6:$F$64,5,FALSE)</f>
        <v>0</v>
      </c>
      <c r="G23" s="687">
        <f t="shared" si="0"/>
        <v>0</v>
      </c>
      <c r="H23" s="687">
        <f t="shared" si="3"/>
        <v>0</v>
      </c>
      <c r="I23" s="687">
        <f t="shared" si="1"/>
        <v>0</v>
      </c>
      <c r="J23" s="687">
        <f t="shared" si="2"/>
        <v>0</v>
      </c>
      <c r="K23" s="1009">
        <f>VLOOKUP(B23,Düngemittel!$B$6:$E$64,3,FALSE)</f>
        <v>0</v>
      </c>
    </row>
    <row r="24" spans="1:11" x14ac:dyDescent="0.25">
      <c r="A24" s="696"/>
      <c r="B24" s="685" t="s">
        <v>805</v>
      </c>
      <c r="C24" s="697">
        <v>0</v>
      </c>
      <c r="D24" s="1008">
        <f>VLOOKUP($B24,Düngemittel!$B$6:$E$64,2,FALSE)</f>
        <v>0</v>
      </c>
      <c r="E24" s="1008">
        <f>VLOOKUP($B24,Düngemittel!$B$6:$E$64,4,FALSE)</f>
        <v>0</v>
      </c>
      <c r="F24" s="1008">
        <f>VLOOKUP($B24,Düngemittel!$B$6:$F$64,5,FALSE)</f>
        <v>0</v>
      </c>
      <c r="G24" s="687">
        <f t="shared" si="0"/>
        <v>0</v>
      </c>
      <c r="H24" s="687">
        <f t="shared" si="3"/>
        <v>0</v>
      </c>
      <c r="I24" s="687">
        <f t="shared" si="1"/>
        <v>0</v>
      </c>
      <c r="J24" s="687">
        <f t="shared" si="2"/>
        <v>0</v>
      </c>
      <c r="K24" s="1009">
        <f>VLOOKUP(B24,Düngemittel!$B$6:$E$64,3,FALSE)</f>
        <v>0</v>
      </c>
    </row>
    <row r="25" spans="1:11" x14ac:dyDescent="0.25">
      <c r="A25" s="696"/>
      <c r="B25" s="685" t="s">
        <v>805</v>
      </c>
      <c r="C25" s="697">
        <v>0</v>
      </c>
      <c r="D25" s="1008">
        <f>VLOOKUP($B25,Düngemittel!$B$6:$E$64,2,FALSE)</f>
        <v>0</v>
      </c>
      <c r="E25" s="1008">
        <f>VLOOKUP($B25,Düngemittel!$B$6:$E$64,4,FALSE)</f>
        <v>0</v>
      </c>
      <c r="F25" s="1008">
        <f>VLOOKUP($B25,Düngemittel!$B$6:$F$64,5,FALSE)</f>
        <v>0</v>
      </c>
      <c r="G25" s="687">
        <f t="shared" si="0"/>
        <v>0</v>
      </c>
      <c r="H25" s="687">
        <f t="shared" si="3"/>
        <v>0</v>
      </c>
      <c r="I25" s="687">
        <f t="shared" si="1"/>
        <v>0</v>
      </c>
      <c r="J25" s="687">
        <f t="shared" si="2"/>
        <v>0</v>
      </c>
      <c r="K25" s="1009">
        <f>VLOOKUP(B25,Düngemittel!$B$6:$E$64,3,FALSE)</f>
        <v>0</v>
      </c>
    </row>
    <row r="26" spans="1:11" x14ac:dyDescent="0.25">
      <c r="A26" s="696"/>
      <c r="B26" s="685" t="s">
        <v>805</v>
      </c>
      <c r="C26" s="697">
        <v>0</v>
      </c>
      <c r="D26" s="1008">
        <f>VLOOKUP($B26,Düngemittel!$B$6:$E$64,2,FALSE)</f>
        <v>0</v>
      </c>
      <c r="E26" s="1008">
        <f>VLOOKUP($B26,Düngemittel!$B$6:$E$64,4,FALSE)</f>
        <v>0</v>
      </c>
      <c r="F26" s="1008">
        <f>VLOOKUP($B26,Düngemittel!$B$6:$F$64,5,FALSE)</f>
        <v>0</v>
      </c>
      <c r="G26" s="687">
        <f t="shared" si="0"/>
        <v>0</v>
      </c>
      <c r="H26" s="687">
        <f t="shared" si="3"/>
        <v>0</v>
      </c>
      <c r="I26" s="687">
        <f t="shared" si="1"/>
        <v>0</v>
      </c>
      <c r="J26" s="687">
        <f t="shared" si="2"/>
        <v>0</v>
      </c>
      <c r="K26" s="1009">
        <f>VLOOKUP(B26,Düngemittel!$B$6:$E$64,3,FALSE)</f>
        <v>0</v>
      </c>
    </row>
    <row r="27" spans="1:11" s="112" customFormat="1" ht="21" customHeight="1" x14ac:dyDescent="0.25">
      <c r="F27" s="285" t="s">
        <v>292</v>
      </c>
      <c r="G27" s="695">
        <f>SUM(G7:G26)</f>
        <v>0</v>
      </c>
      <c r="H27" s="695">
        <f>SUM(H7:H26)</f>
        <v>0</v>
      </c>
      <c r="I27" s="695">
        <f>SUM(I7:I26)</f>
        <v>0</v>
      </c>
      <c r="J27" s="695">
        <f>SUM(J7:J26)</f>
        <v>0</v>
      </c>
      <c r="K27" s="695"/>
    </row>
    <row r="28" spans="1:11" ht="13.5" customHeight="1" x14ac:dyDescent="0.25">
      <c r="K28" s="1010"/>
    </row>
    <row r="29" spans="1:11" ht="45" customHeight="1" x14ac:dyDescent="0.25">
      <c r="A29" s="112"/>
      <c r="B29" s="112"/>
      <c r="C29" s="112"/>
      <c r="D29" s="1559" t="s">
        <v>1027</v>
      </c>
      <c r="E29" s="1559"/>
      <c r="F29" s="1559"/>
      <c r="G29" s="285" t="s">
        <v>1267</v>
      </c>
      <c r="H29" s="1319" t="s">
        <v>1253</v>
      </c>
      <c r="I29" s="1319"/>
      <c r="J29" s="1319"/>
      <c r="K29" s="1286"/>
    </row>
    <row r="30" spans="1:11" ht="45" x14ac:dyDescent="0.25">
      <c r="A30" s="968" t="s">
        <v>1139</v>
      </c>
      <c r="B30" s="312" t="s">
        <v>1222</v>
      </c>
      <c r="C30" s="681" t="s">
        <v>1029</v>
      </c>
      <c r="D30" s="285" t="s">
        <v>177</v>
      </c>
      <c r="E30" s="285" t="s">
        <v>1020</v>
      </c>
      <c r="F30" s="285" t="s">
        <v>1021</v>
      </c>
      <c r="G30" s="160" t="s">
        <v>1030</v>
      </c>
      <c r="H30" s="285" t="s">
        <v>177</v>
      </c>
      <c r="I30" s="285" t="s">
        <v>1020</v>
      </c>
      <c r="J30" s="285" t="s">
        <v>1021</v>
      </c>
      <c r="K30" s="967" t="s">
        <v>1136</v>
      </c>
    </row>
    <row r="31" spans="1:11" ht="15.75" customHeight="1" x14ac:dyDescent="0.25">
      <c r="A31" s="696"/>
      <c r="B31" s="685" t="s">
        <v>805</v>
      </c>
      <c r="C31" s="697">
        <v>0</v>
      </c>
      <c r="D31" s="1008">
        <f>VLOOKUP($B31,Düngemittel!$B$6:$E$64,2,FALSE)</f>
        <v>0</v>
      </c>
      <c r="E31" s="1008">
        <f>VLOOKUP($B31,Düngemittel!$B$6:$E$64,4,FALSE)</f>
        <v>0</v>
      </c>
      <c r="F31" s="1008">
        <f>VLOOKUP($B31,Düngemittel!$B$6:$F$64,5,FALSE)</f>
        <v>0</v>
      </c>
      <c r="G31" s="687">
        <f>C31*D31</f>
        <v>0</v>
      </c>
      <c r="H31" s="687">
        <f>D31*C31*K31/100</f>
        <v>0</v>
      </c>
      <c r="I31" s="687">
        <f>C31*E31</f>
        <v>0</v>
      </c>
      <c r="J31" s="687">
        <f t="shared" ref="J31:J53" si="4">C31*F31</f>
        <v>0</v>
      </c>
      <c r="K31" s="1009">
        <f>VLOOKUP(B31,Düngemittel!$B$6:$E$64,3,FALSE)</f>
        <v>0</v>
      </c>
    </row>
    <row r="32" spans="1:11" ht="15.75" customHeight="1" x14ac:dyDescent="0.25">
      <c r="A32" s="696"/>
      <c r="B32" s="685" t="s">
        <v>805</v>
      </c>
      <c r="C32" s="697">
        <v>0</v>
      </c>
      <c r="D32" s="1008">
        <f>VLOOKUP($B32,Düngemittel!$B$6:$E$64,2,FALSE)</f>
        <v>0</v>
      </c>
      <c r="E32" s="1008">
        <f>VLOOKUP($B32,Düngemittel!$B$6:$E$64,4,FALSE)</f>
        <v>0</v>
      </c>
      <c r="F32" s="1008">
        <f>VLOOKUP($B32,Düngemittel!$B$6:$F$64,5,FALSE)</f>
        <v>0</v>
      </c>
      <c r="G32" s="687">
        <f t="shared" ref="G32:G53" si="5">C32*D32</f>
        <v>0</v>
      </c>
      <c r="H32" s="687">
        <f t="shared" ref="H32:H53" si="6">D32*C32*K32/100</f>
        <v>0</v>
      </c>
      <c r="I32" s="687">
        <f t="shared" ref="I32:I53" si="7">C32*E32</f>
        <v>0</v>
      </c>
      <c r="J32" s="687">
        <f t="shared" si="4"/>
        <v>0</v>
      </c>
      <c r="K32" s="1009">
        <f>VLOOKUP(B32,Düngemittel!$B$6:$E$64,3,FALSE)</f>
        <v>0</v>
      </c>
    </row>
    <row r="33" spans="1:11" s="112" customFormat="1" ht="15.75" customHeight="1" x14ac:dyDescent="0.25">
      <c r="A33" s="696"/>
      <c r="B33" s="685" t="s">
        <v>805</v>
      </c>
      <c r="C33" s="697">
        <v>0</v>
      </c>
      <c r="D33" s="1008">
        <f>VLOOKUP($B33,Düngemittel!$B$6:$E$64,2,FALSE)</f>
        <v>0</v>
      </c>
      <c r="E33" s="1008">
        <f>VLOOKUP($B33,Düngemittel!$B$6:$E$64,4,FALSE)</f>
        <v>0</v>
      </c>
      <c r="F33" s="1008">
        <f>VLOOKUP($B33,Düngemittel!$B$6:$F$64,5,FALSE)</f>
        <v>0</v>
      </c>
      <c r="G33" s="687">
        <f t="shared" si="5"/>
        <v>0</v>
      </c>
      <c r="H33" s="687">
        <f t="shared" si="6"/>
        <v>0</v>
      </c>
      <c r="I33" s="687">
        <f t="shared" si="7"/>
        <v>0</v>
      </c>
      <c r="J33" s="687">
        <f t="shared" si="4"/>
        <v>0</v>
      </c>
      <c r="K33" s="1009">
        <f>VLOOKUP(B33,Düngemittel!$B$6:$E$64,3,FALSE)</f>
        <v>0</v>
      </c>
    </row>
    <row r="34" spans="1:11" s="112" customFormat="1" ht="15.75" customHeight="1" x14ac:dyDescent="0.25">
      <c r="A34" s="696"/>
      <c r="B34" s="685" t="s">
        <v>805</v>
      </c>
      <c r="C34" s="697">
        <v>0</v>
      </c>
      <c r="D34" s="1008">
        <f>VLOOKUP($B34,Düngemittel!$B$6:$E$64,2,FALSE)</f>
        <v>0</v>
      </c>
      <c r="E34" s="1008">
        <f>VLOOKUP($B34,Düngemittel!$B$6:$E$64,4,FALSE)</f>
        <v>0</v>
      </c>
      <c r="F34" s="1008">
        <f>VLOOKUP($B34,Düngemittel!$B$6:$F$64,5,FALSE)</f>
        <v>0</v>
      </c>
      <c r="G34" s="687">
        <f t="shared" si="5"/>
        <v>0</v>
      </c>
      <c r="H34" s="687">
        <f t="shared" si="6"/>
        <v>0</v>
      </c>
      <c r="I34" s="687">
        <f t="shared" si="7"/>
        <v>0</v>
      </c>
      <c r="J34" s="687">
        <f t="shared" si="4"/>
        <v>0</v>
      </c>
      <c r="K34" s="1009">
        <f>VLOOKUP(B34,Düngemittel!$B$6:$E$64,3,FALSE)</f>
        <v>0</v>
      </c>
    </row>
    <row r="35" spans="1:11" ht="15.75" customHeight="1" x14ac:dyDescent="0.25">
      <c r="A35" s="696"/>
      <c r="B35" s="685" t="s">
        <v>805</v>
      </c>
      <c r="C35" s="697">
        <v>0</v>
      </c>
      <c r="D35" s="1008">
        <f>VLOOKUP($B35,Düngemittel!$B$6:$E$64,2,FALSE)</f>
        <v>0</v>
      </c>
      <c r="E35" s="1008">
        <f>VLOOKUP($B35,Düngemittel!$B$6:$E$64,4,FALSE)</f>
        <v>0</v>
      </c>
      <c r="F35" s="1008">
        <f>VLOOKUP($B35,Düngemittel!$B$6:$F$64,5,FALSE)</f>
        <v>0</v>
      </c>
      <c r="G35" s="687">
        <f t="shared" si="5"/>
        <v>0</v>
      </c>
      <c r="H35" s="687">
        <f t="shared" si="6"/>
        <v>0</v>
      </c>
      <c r="I35" s="687">
        <f t="shared" si="7"/>
        <v>0</v>
      </c>
      <c r="J35" s="687">
        <f t="shared" si="4"/>
        <v>0</v>
      </c>
      <c r="K35" s="1009">
        <f>VLOOKUP(B35,Düngemittel!$B$6:$E$64,3,FALSE)</f>
        <v>0</v>
      </c>
    </row>
    <row r="36" spans="1:11" ht="15.75" customHeight="1" x14ac:dyDescent="0.25">
      <c r="A36" s="696"/>
      <c r="B36" s="685" t="s">
        <v>805</v>
      </c>
      <c r="C36" s="697">
        <v>0</v>
      </c>
      <c r="D36" s="1008">
        <f>VLOOKUP($B36,Düngemittel!$B$6:$E$64,2,FALSE)</f>
        <v>0</v>
      </c>
      <c r="E36" s="1008">
        <f>VLOOKUP($B36,Düngemittel!$B$6:$E$64,4,FALSE)</f>
        <v>0</v>
      </c>
      <c r="F36" s="1008">
        <f>VLOOKUP($B36,Düngemittel!$B$6:$F$64,5,FALSE)</f>
        <v>0</v>
      </c>
      <c r="G36" s="687">
        <f t="shared" si="5"/>
        <v>0</v>
      </c>
      <c r="H36" s="687">
        <f t="shared" si="6"/>
        <v>0</v>
      </c>
      <c r="I36" s="687">
        <f t="shared" si="7"/>
        <v>0</v>
      </c>
      <c r="J36" s="687">
        <f t="shared" si="4"/>
        <v>0</v>
      </c>
      <c r="K36" s="1009">
        <f>VLOOKUP(B36,Düngemittel!$B$6:$E$64,3,FALSE)</f>
        <v>0</v>
      </c>
    </row>
    <row r="37" spans="1:11" ht="15.75" customHeight="1" x14ac:dyDescent="0.25">
      <c r="A37" s="696"/>
      <c r="B37" s="685" t="s">
        <v>805</v>
      </c>
      <c r="C37" s="697">
        <v>0</v>
      </c>
      <c r="D37" s="1008">
        <f>VLOOKUP($B37,Düngemittel!$B$6:$E$64,2,FALSE)</f>
        <v>0</v>
      </c>
      <c r="E37" s="1008">
        <f>VLOOKUP($B37,Düngemittel!$B$6:$E$64,4,FALSE)</f>
        <v>0</v>
      </c>
      <c r="F37" s="1008">
        <f>VLOOKUP($B37,Düngemittel!$B$6:$F$64,5,FALSE)</f>
        <v>0</v>
      </c>
      <c r="G37" s="687">
        <f t="shared" si="5"/>
        <v>0</v>
      </c>
      <c r="H37" s="687">
        <f t="shared" si="6"/>
        <v>0</v>
      </c>
      <c r="I37" s="687">
        <f t="shared" si="7"/>
        <v>0</v>
      </c>
      <c r="J37" s="687">
        <f t="shared" si="4"/>
        <v>0</v>
      </c>
      <c r="K37" s="1009">
        <f>VLOOKUP(B37,Düngemittel!$B$6:$E$64,3,FALSE)</f>
        <v>0</v>
      </c>
    </row>
    <row r="38" spans="1:11" ht="15.75" customHeight="1" x14ac:dyDescent="0.25">
      <c r="A38" s="696"/>
      <c r="B38" s="685" t="s">
        <v>805</v>
      </c>
      <c r="C38" s="697">
        <v>0</v>
      </c>
      <c r="D38" s="1008">
        <f>VLOOKUP($B38,Düngemittel!$B$6:$E$64,2,FALSE)</f>
        <v>0</v>
      </c>
      <c r="E38" s="1008">
        <f>VLOOKUP($B38,Düngemittel!$B$6:$E$64,4,FALSE)</f>
        <v>0</v>
      </c>
      <c r="F38" s="1008">
        <f>VLOOKUP($B38,Düngemittel!$B$6:$F$64,5,FALSE)</f>
        <v>0</v>
      </c>
      <c r="G38" s="687">
        <f t="shared" si="5"/>
        <v>0</v>
      </c>
      <c r="H38" s="687">
        <f t="shared" si="6"/>
        <v>0</v>
      </c>
      <c r="I38" s="687">
        <f t="shared" si="7"/>
        <v>0</v>
      </c>
      <c r="J38" s="687">
        <f t="shared" si="4"/>
        <v>0</v>
      </c>
      <c r="K38" s="1009">
        <f>VLOOKUP(B38,Düngemittel!$B$6:$E$64,3,FALSE)</f>
        <v>0</v>
      </c>
    </row>
    <row r="39" spans="1:11" ht="15.75" customHeight="1" x14ac:dyDescent="0.25">
      <c r="A39" s="696"/>
      <c r="B39" s="685" t="s">
        <v>805</v>
      </c>
      <c r="C39" s="697">
        <v>0</v>
      </c>
      <c r="D39" s="1008">
        <f>VLOOKUP($B39,Düngemittel!$B$6:$E$64,2,FALSE)</f>
        <v>0</v>
      </c>
      <c r="E39" s="1008">
        <f>VLOOKUP($B39,Düngemittel!$B$6:$E$64,4,FALSE)</f>
        <v>0</v>
      </c>
      <c r="F39" s="1008">
        <f>VLOOKUP($B39,Düngemittel!$B$6:$F$64,5,FALSE)</f>
        <v>0</v>
      </c>
      <c r="G39" s="687">
        <f t="shared" si="5"/>
        <v>0</v>
      </c>
      <c r="H39" s="687">
        <f t="shared" si="6"/>
        <v>0</v>
      </c>
      <c r="I39" s="687">
        <f t="shared" si="7"/>
        <v>0</v>
      </c>
      <c r="J39" s="687">
        <f t="shared" si="4"/>
        <v>0</v>
      </c>
      <c r="K39" s="1009">
        <f>VLOOKUP(B39,Düngemittel!$B$6:$E$64,3,FALSE)</f>
        <v>0</v>
      </c>
    </row>
    <row r="40" spans="1:11" ht="15.75" customHeight="1" x14ac:dyDescent="0.25">
      <c r="A40" s="696"/>
      <c r="B40" s="685" t="s">
        <v>805</v>
      </c>
      <c r="C40" s="697">
        <v>0</v>
      </c>
      <c r="D40" s="1008">
        <f>VLOOKUP($B40,Düngemittel!$B$6:$E$64,2,FALSE)</f>
        <v>0</v>
      </c>
      <c r="E40" s="1008">
        <f>VLOOKUP($B40,Düngemittel!$B$6:$E$64,4,FALSE)</f>
        <v>0</v>
      </c>
      <c r="F40" s="1008">
        <f>VLOOKUP($B40,Düngemittel!$B$6:$F$64,5,FALSE)</f>
        <v>0</v>
      </c>
      <c r="G40" s="687">
        <f t="shared" si="5"/>
        <v>0</v>
      </c>
      <c r="H40" s="687">
        <f t="shared" si="6"/>
        <v>0</v>
      </c>
      <c r="I40" s="687">
        <f t="shared" si="7"/>
        <v>0</v>
      </c>
      <c r="J40" s="687">
        <f t="shared" si="4"/>
        <v>0</v>
      </c>
      <c r="K40" s="1009">
        <f>VLOOKUP(B40,Düngemittel!$B$6:$E$64,3,FALSE)</f>
        <v>0</v>
      </c>
    </row>
    <row r="41" spans="1:11" ht="15.75" customHeight="1" x14ac:dyDescent="0.25">
      <c r="A41" s="696"/>
      <c r="B41" s="685" t="s">
        <v>805</v>
      </c>
      <c r="C41" s="697">
        <v>0</v>
      </c>
      <c r="D41" s="1008">
        <f>VLOOKUP($B41,Düngemittel!$B$6:$E$64,2,FALSE)</f>
        <v>0</v>
      </c>
      <c r="E41" s="1008">
        <f>VLOOKUP($B41,Düngemittel!$B$6:$E$64,4,FALSE)</f>
        <v>0</v>
      </c>
      <c r="F41" s="1008">
        <f>VLOOKUP($B41,Düngemittel!$B$6:$F$64,5,FALSE)</f>
        <v>0</v>
      </c>
      <c r="G41" s="687">
        <f t="shared" si="5"/>
        <v>0</v>
      </c>
      <c r="H41" s="687">
        <f t="shared" si="6"/>
        <v>0</v>
      </c>
      <c r="I41" s="687">
        <f t="shared" si="7"/>
        <v>0</v>
      </c>
      <c r="J41" s="687">
        <f t="shared" si="4"/>
        <v>0</v>
      </c>
      <c r="K41" s="1009">
        <f>VLOOKUP(B41,Düngemittel!$B$6:$E$64,3,FALSE)</f>
        <v>0</v>
      </c>
    </row>
    <row r="42" spans="1:11" ht="15.75" customHeight="1" x14ac:dyDescent="0.25">
      <c r="A42" s="696"/>
      <c r="B42" s="685" t="s">
        <v>805</v>
      </c>
      <c r="C42" s="697">
        <v>0</v>
      </c>
      <c r="D42" s="1008">
        <f>VLOOKUP($B42,Düngemittel!$B$6:$E$64,2,FALSE)</f>
        <v>0</v>
      </c>
      <c r="E42" s="1008">
        <f>VLOOKUP($B42,Düngemittel!$B$6:$E$64,4,FALSE)</f>
        <v>0</v>
      </c>
      <c r="F42" s="1008">
        <f>VLOOKUP($B42,Düngemittel!$B$6:$F$64,5,FALSE)</f>
        <v>0</v>
      </c>
      <c r="G42" s="687">
        <f t="shared" si="5"/>
        <v>0</v>
      </c>
      <c r="H42" s="687">
        <f t="shared" si="6"/>
        <v>0</v>
      </c>
      <c r="I42" s="687">
        <f t="shared" si="7"/>
        <v>0</v>
      </c>
      <c r="J42" s="687">
        <f t="shared" si="4"/>
        <v>0</v>
      </c>
      <c r="K42" s="1009">
        <f>VLOOKUP(B42,Düngemittel!$B$6:$E$64,3,FALSE)</f>
        <v>0</v>
      </c>
    </row>
    <row r="43" spans="1:11" ht="15.75" customHeight="1" x14ac:dyDescent="0.25">
      <c r="A43" s="696"/>
      <c r="B43" s="685" t="s">
        <v>805</v>
      </c>
      <c r="C43" s="697">
        <v>0</v>
      </c>
      <c r="D43" s="1008">
        <f>VLOOKUP($B43,Düngemittel!$B$6:$E$64,2,FALSE)</f>
        <v>0</v>
      </c>
      <c r="E43" s="1008">
        <f>VLOOKUP($B43,Düngemittel!$B$6:$E$64,4,FALSE)</f>
        <v>0</v>
      </c>
      <c r="F43" s="1008">
        <f>VLOOKUP($B43,Düngemittel!$B$6:$F$64,5,FALSE)</f>
        <v>0</v>
      </c>
      <c r="G43" s="687">
        <f t="shared" si="5"/>
        <v>0</v>
      </c>
      <c r="H43" s="687">
        <f t="shared" si="6"/>
        <v>0</v>
      </c>
      <c r="I43" s="687">
        <f t="shared" si="7"/>
        <v>0</v>
      </c>
      <c r="J43" s="687">
        <f t="shared" si="4"/>
        <v>0</v>
      </c>
      <c r="K43" s="1009">
        <f>VLOOKUP(B43,Düngemittel!$B$6:$E$64,3,FALSE)</f>
        <v>0</v>
      </c>
    </row>
    <row r="44" spans="1:11" ht="15.75" customHeight="1" x14ac:dyDescent="0.25">
      <c r="A44" s="696"/>
      <c r="B44" s="685" t="s">
        <v>805</v>
      </c>
      <c r="C44" s="697">
        <v>0</v>
      </c>
      <c r="D44" s="1008">
        <f>VLOOKUP($B44,Düngemittel!$B$6:$E$64,2,FALSE)</f>
        <v>0</v>
      </c>
      <c r="E44" s="1008">
        <f>VLOOKUP($B44,Düngemittel!$B$6:$E$64,4,FALSE)</f>
        <v>0</v>
      </c>
      <c r="F44" s="1008">
        <f>VLOOKUP($B44,Düngemittel!$B$6:$F$64,5,FALSE)</f>
        <v>0</v>
      </c>
      <c r="G44" s="687">
        <f t="shared" si="5"/>
        <v>0</v>
      </c>
      <c r="H44" s="687">
        <f t="shared" si="6"/>
        <v>0</v>
      </c>
      <c r="I44" s="687">
        <f t="shared" si="7"/>
        <v>0</v>
      </c>
      <c r="J44" s="687">
        <f t="shared" si="4"/>
        <v>0</v>
      </c>
      <c r="K44" s="1009">
        <f>VLOOKUP(B44,Düngemittel!$B$6:$E$64,3,FALSE)</f>
        <v>0</v>
      </c>
    </row>
    <row r="45" spans="1:11" ht="15.75" customHeight="1" x14ac:dyDescent="0.25">
      <c r="A45" s="696"/>
      <c r="B45" s="685" t="s">
        <v>805</v>
      </c>
      <c r="C45" s="697">
        <v>0</v>
      </c>
      <c r="D45" s="1008">
        <f>VLOOKUP($B45,Düngemittel!$B$6:$E$64,2,FALSE)</f>
        <v>0</v>
      </c>
      <c r="E45" s="1008">
        <f>VLOOKUP($B45,Düngemittel!$B$6:$E$64,4,FALSE)</f>
        <v>0</v>
      </c>
      <c r="F45" s="1008">
        <f>VLOOKUP($B45,Düngemittel!$B$6:$F$64,5,FALSE)</f>
        <v>0</v>
      </c>
      <c r="G45" s="687">
        <f t="shared" si="5"/>
        <v>0</v>
      </c>
      <c r="H45" s="687">
        <f t="shared" si="6"/>
        <v>0</v>
      </c>
      <c r="I45" s="687">
        <f t="shared" si="7"/>
        <v>0</v>
      </c>
      <c r="J45" s="687">
        <f t="shared" si="4"/>
        <v>0</v>
      </c>
      <c r="K45" s="1009">
        <f>VLOOKUP(B45,Düngemittel!$B$6:$E$64,3,FALSE)</f>
        <v>0</v>
      </c>
    </row>
    <row r="46" spans="1:11" ht="15.75" customHeight="1" x14ac:dyDescent="0.25">
      <c r="A46" s="696"/>
      <c r="B46" s="685" t="s">
        <v>805</v>
      </c>
      <c r="C46" s="697">
        <v>0</v>
      </c>
      <c r="D46" s="1008">
        <f>VLOOKUP($B46,Düngemittel!$B$6:$E$64,2,FALSE)</f>
        <v>0</v>
      </c>
      <c r="E46" s="1008">
        <f>VLOOKUP($B46,Düngemittel!$B$6:$E$64,4,FALSE)</f>
        <v>0</v>
      </c>
      <c r="F46" s="1008">
        <f>VLOOKUP($B46,Düngemittel!$B$6:$F$64,5,FALSE)</f>
        <v>0</v>
      </c>
      <c r="G46" s="687">
        <f t="shared" si="5"/>
        <v>0</v>
      </c>
      <c r="H46" s="687">
        <f t="shared" si="6"/>
        <v>0</v>
      </c>
      <c r="I46" s="687">
        <f t="shared" si="7"/>
        <v>0</v>
      </c>
      <c r="J46" s="687">
        <f t="shared" si="4"/>
        <v>0</v>
      </c>
      <c r="K46" s="1009">
        <f>VLOOKUP(B46,Düngemittel!$B$6:$E$64,3,FALSE)</f>
        <v>0</v>
      </c>
    </row>
    <row r="47" spans="1:11" ht="15.75" customHeight="1" x14ac:dyDescent="0.25">
      <c r="A47" s="696"/>
      <c r="B47" s="685" t="s">
        <v>805</v>
      </c>
      <c r="C47" s="697">
        <v>0</v>
      </c>
      <c r="D47" s="1008">
        <f>VLOOKUP($B47,Düngemittel!$B$6:$E$64,2,FALSE)</f>
        <v>0</v>
      </c>
      <c r="E47" s="1008">
        <f>VLOOKUP($B47,Düngemittel!$B$6:$E$64,4,FALSE)</f>
        <v>0</v>
      </c>
      <c r="F47" s="1008">
        <f>VLOOKUP($B47,Düngemittel!$B$6:$F$64,5,FALSE)</f>
        <v>0</v>
      </c>
      <c r="G47" s="687">
        <f t="shared" si="5"/>
        <v>0</v>
      </c>
      <c r="H47" s="687">
        <f t="shared" si="6"/>
        <v>0</v>
      </c>
      <c r="I47" s="687">
        <f t="shared" si="7"/>
        <v>0</v>
      </c>
      <c r="J47" s="687">
        <f t="shared" si="4"/>
        <v>0</v>
      </c>
      <c r="K47" s="1009">
        <f>VLOOKUP(B47,Düngemittel!$B$6:$E$64,3,FALSE)</f>
        <v>0</v>
      </c>
    </row>
    <row r="48" spans="1:11" ht="15.75" customHeight="1" x14ac:dyDescent="0.25">
      <c r="A48" s="696"/>
      <c r="B48" s="685" t="s">
        <v>805</v>
      </c>
      <c r="C48" s="697">
        <v>0</v>
      </c>
      <c r="D48" s="1008">
        <f>VLOOKUP($B48,Düngemittel!$B$6:$E$64,2,FALSE)</f>
        <v>0</v>
      </c>
      <c r="E48" s="1008">
        <f>VLOOKUP($B48,Düngemittel!$B$6:$E$64,4,FALSE)</f>
        <v>0</v>
      </c>
      <c r="F48" s="1008">
        <f>VLOOKUP($B48,Düngemittel!$B$6:$F$64,5,FALSE)</f>
        <v>0</v>
      </c>
      <c r="G48" s="687">
        <f t="shared" si="5"/>
        <v>0</v>
      </c>
      <c r="H48" s="687">
        <f t="shared" si="6"/>
        <v>0</v>
      </c>
      <c r="I48" s="687">
        <f t="shared" si="7"/>
        <v>0</v>
      </c>
      <c r="J48" s="687">
        <f t="shared" si="4"/>
        <v>0</v>
      </c>
      <c r="K48" s="1009">
        <f>VLOOKUP(B48,Düngemittel!$B$6:$E$64,3,FALSE)</f>
        <v>0</v>
      </c>
    </row>
    <row r="49" spans="1:11" ht="15.75" customHeight="1" x14ac:dyDescent="0.25">
      <c r="A49" s="696"/>
      <c r="B49" s="685" t="s">
        <v>805</v>
      </c>
      <c r="C49" s="697">
        <v>0</v>
      </c>
      <c r="D49" s="1008">
        <f>VLOOKUP($B49,Düngemittel!$B$6:$E$64,2,FALSE)</f>
        <v>0</v>
      </c>
      <c r="E49" s="1008">
        <f>VLOOKUP($B49,Düngemittel!$B$6:$E$64,4,FALSE)</f>
        <v>0</v>
      </c>
      <c r="F49" s="1008">
        <f>VLOOKUP($B49,Düngemittel!$B$6:$F$64,5,FALSE)</f>
        <v>0</v>
      </c>
      <c r="G49" s="687">
        <f t="shared" si="5"/>
        <v>0</v>
      </c>
      <c r="H49" s="687">
        <f t="shared" si="6"/>
        <v>0</v>
      </c>
      <c r="I49" s="687">
        <f t="shared" si="7"/>
        <v>0</v>
      </c>
      <c r="J49" s="687">
        <f t="shared" si="4"/>
        <v>0</v>
      </c>
      <c r="K49" s="1009">
        <f>VLOOKUP(B49,Düngemittel!$B$6:$E$64,3,FALSE)</f>
        <v>0</v>
      </c>
    </row>
    <row r="50" spans="1:11" ht="15.75" customHeight="1" x14ac:dyDescent="0.25">
      <c r="A50" s="696"/>
      <c r="B50" s="685" t="s">
        <v>805</v>
      </c>
      <c r="C50" s="697">
        <v>0</v>
      </c>
      <c r="D50" s="1008">
        <f>VLOOKUP($B50,Düngemittel!$B$6:$E$64,2,FALSE)</f>
        <v>0</v>
      </c>
      <c r="E50" s="1008">
        <f>VLOOKUP($B50,Düngemittel!$B$6:$E$64,4,FALSE)</f>
        <v>0</v>
      </c>
      <c r="F50" s="1008">
        <f>VLOOKUP($B50,Düngemittel!$B$6:$F$64,5,FALSE)</f>
        <v>0</v>
      </c>
      <c r="G50" s="687">
        <f t="shared" si="5"/>
        <v>0</v>
      </c>
      <c r="H50" s="687">
        <f t="shared" si="6"/>
        <v>0</v>
      </c>
      <c r="I50" s="687">
        <f t="shared" si="7"/>
        <v>0</v>
      </c>
      <c r="J50" s="687">
        <f t="shared" si="4"/>
        <v>0</v>
      </c>
      <c r="K50" s="1009">
        <f>VLOOKUP(B50,Düngemittel!$B$6:$E$64,3,FALSE)</f>
        <v>0</v>
      </c>
    </row>
    <row r="51" spans="1:11" ht="15.75" customHeight="1" x14ac:dyDescent="0.25">
      <c r="A51" s="696"/>
      <c r="B51" s="685" t="s">
        <v>805</v>
      </c>
      <c r="C51" s="697">
        <v>0</v>
      </c>
      <c r="D51" s="1008">
        <f>VLOOKUP($B51,Düngemittel!$B$6:$E$64,2,FALSE)</f>
        <v>0</v>
      </c>
      <c r="E51" s="1008">
        <f>VLOOKUP($B51,Düngemittel!$B$6:$E$64,4,FALSE)</f>
        <v>0</v>
      </c>
      <c r="F51" s="1008">
        <f>VLOOKUP($B51,Düngemittel!$B$6:$F$64,5,FALSE)</f>
        <v>0</v>
      </c>
      <c r="G51" s="687">
        <f t="shared" si="5"/>
        <v>0</v>
      </c>
      <c r="H51" s="687">
        <f t="shared" si="6"/>
        <v>0</v>
      </c>
      <c r="I51" s="687">
        <f t="shared" si="7"/>
        <v>0</v>
      </c>
      <c r="J51" s="687">
        <f t="shared" si="4"/>
        <v>0</v>
      </c>
      <c r="K51" s="1009">
        <f>VLOOKUP(B51,Düngemittel!$B$6:$E$64,3,FALSE)</f>
        <v>0</v>
      </c>
    </row>
    <row r="52" spans="1:11" ht="15.75" customHeight="1" x14ac:dyDescent="0.25">
      <c r="A52" s="696"/>
      <c r="B52" s="685" t="s">
        <v>805</v>
      </c>
      <c r="C52" s="697">
        <v>0</v>
      </c>
      <c r="D52" s="1008">
        <f>VLOOKUP($B52,Düngemittel!$B$6:$E$64,2,FALSE)</f>
        <v>0</v>
      </c>
      <c r="E52" s="1008">
        <f>VLOOKUP($B52,Düngemittel!$B$6:$E$64,4,FALSE)</f>
        <v>0</v>
      </c>
      <c r="F52" s="1008">
        <f>VLOOKUP($B52,Düngemittel!$B$6:$F$64,5,FALSE)</f>
        <v>0</v>
      </c>
      <c r="G52" s="687">
        <f t="shared" si="5"/>
        <v>0</v>
      </c>
      <c r="H52" s="687">
        <f t="shared" si="6"/>
        <v>0</v>
      </c>
      <c r="I52" s="687">
        <f t="shared" si="7"/>
        <v>0</v>
      </c>
      <c r="J52" s="687">
        <f t="shared" si="4"/>
        <v>0</v>
      </c>
      <c r="K52" s="1009">
        <f>VLOOKUP(B52,Düngemittel!$B$6:$E$64,3,FALSE)</f>
        <v>0</v>
      </c>
    </row>
    <row r="53" spans="1:11" ht="15.75" customHeight="1" x14ac:dyDescent="0.25">
      <c r="A53" s="696"/>
      <c r="B53" s="685" t="s">
        <v>805</v>
      </c>
      <c r="C53" s="697">
        <v>0</v>
      </c>
      <c r="D53" s="1008">
        <f>VLOOKUP($B53,Düngemittel!$B$6:$E$64,2,FALSE)</f>
        <v>0</v>
      </c>
      <c r="E53" s="1008">
        <f>VLOOKUP($B53,Düngemittel!$B$6:$E$64,4,FALSE)</f>
        <v>0</v>
      </c>
      <c r="F53" s="1008">
        <f>VLOOKUP($B53,Düngemittel!$B$6:$F$64,5,FALSE)</f>
        <v>0</v>
      </c>
      <c r="G53" s="687">
        <f t="shared" si="5"/>
        <v>0</v>
      </c>
      <c r="H53" s="687">
        <f t="shared" si="6"/>
        <v>0</v>
      </c>
      <c r="I53" s="687">
        <f t="shared" si="7"/>
        <v>0</v>
      </c>
      <c r="J53" s="687">
        <f t="shared" si="4"/>
        <v>0</v>
      </c>
      <c r="K53" s="1009">
        <f>VLOOKUP(B53,Düngemittel!$B$6:$E$64,3,FALSE)</f>
        <v>0</v>
      </c>
    </row>
    <row r="54" spans="1:11" ht="15.75" customHeight="1" x14ac:dyDescent="0.25">
      <c r="A54" s="112"/>
      <c r="B54" s="112"/>
      <c r="C54" s="112"/>
      <c r="D54" s="112"/>
      <c r="E54" s="112"/>
      <c r="F54" s="285" t="s">
        <v>292</v>
      </c>
      <c r="G54" s="695">
        <f>SUM(G31:G53)</f>
        <v>0</v>
      </c>
      <c r="H54" s="695">
        <f>SUM(H31:H53)</f>
        <v>0</v>
      </c>
      <c r="I54" s="695">
        <f t="shared" ref="I54:J54" si="8">SUM(I31:I53)</f>
        <v>0</v>
      </c>
      <c r="J54" s="695">
        <f t="shared" si="8"/>
        <v>0</v>
      </c>
      <c r="K54" s="695"/>
    </row>
    <row r="57" spans="1:11" s="1011" customFormat="1" ht="27" customHeight="1" x14ac:dyDescent="0.25">
      <c r="A57" s="1012"/>
      <c r="B57" s="1007" t="s">
        <v>1249</v>
      </c>
    </row>
    <row r="58" spans="1:11" s="1011" customFormat="1" ht="15.75" customHeight="1" x14ac:dyDescent="0.25">
      <c r="B58" s="1007"/>
      <c r="G58" s="1014" t="s">
        <v>1251</v>
      </c>
      <c r="H58" s="1014"/>
      <c r="I58" s="1014"/>
    </row>
    <row r="59" spans="1:11" ht="18.75" customHeight="1" x14ac:dyDescent="0.25">
      <c r="B59" s="1568" t="s">
        <v>1247</v>
      </c>
      <c r="C59" s="121" t="s">
        <v>1250</v>
      </c>
      <c r="G59" s="1019">
        <f>Tierhaltung!M43</f>
        <v>26066.466986301366</v>
      </c>
    </row>
    <row r="60" spans="1:11" ht="18.75" customHeight="1" x14ac:dyDescent="0.25">
      <c r="B60" s="1569"/>
      <c r="C60" s="121" t="s">
        <v>1248</v>
      </c>
      <c r="G60" s="1019">
        <f>Tierhaltung!N43</f>
        <v>1472.8767123287669</v>
      </c>
    </row>
    <row r="61" spans="1:11" ht="18.75" customHeight="1" x14ac:dyDescent="0.25">
      <c r="B61" s="665" t="s">
        <v>1254</v>
      </c>
      <c r="G61" s="1019">
        <f>G27</f>
        <v>0</v>
      </c>
    </row>
    <row r="62" spans="1:11" s="112" customFormat="1" ht="18.75" customHeight="1" x14ac:dyDescent="0.25">
      <c r="A62" s="80"/>
      <c r="B62" s="665" t="s">
        <v>1255</v>
      </c>
      <c r="C62" s="80"/>
      <c r="D62" s="80"/>
      <c r="E62" s="80"/>
      <c r="F62" s="17" t="s">
        <v>1256</v>
      </c>
      <c r="G62" s="1019">
        <f>G54</f>
        <v>0</v>
      </c>
      <c r="H62" s="80"/>
      <c r="I62" s="80"/>
      <c r="J62" s="80"/>
      <c r="K62" s="80"/>
    </row>
    <row r="63" spans="1:11" s="112" customFormat="1" ht="9.75" customHeight="1" x14ac:dyDescent="0.25">
      <c r="A63" s="80"/>
      <c r="B63" s="15"/>
      <c r="C63" s="80"/>
      <c r="D63" s="80"/>
      <c r="E63" s="80"/>
      <c r="F63" s="80"/>
      <c r="G63" s="1015"/>
      <c r="H63" s="80"/>
      <c r="I63" s="80"/>
      <c r="J63" s="80"/>
      <c r="K63" s="80"/>
    </row>
    <row r="64" spans="1:11" s="1017" customFormat="1" ht="17.25" x14ac:dyDescent="0.25">
      <c r="B64" s="1016" t="s">
        <v>1257</v>
      </c>
      <c r="C64" s="1016"/>
      <c r="G64" s="1018">
        <f>G59+G60+G61-G62</f>
        <v>27539.343698630131</v>
      </c>
    </row>
    <row r="65" spans="2:12" ht="9" customHeight="1" x14ac:dyDescent="0.25">
      <c r="B65" s="15"/>
      <c r="G65" s="1015"/>
    </row>
    <row r="66" spans="2:12" ht="18.75" x14ac:dyDescent="0.25">
      <c r="B66" s="15"/>
      <c r="F66" s="1021" t="s">
        <v>328</v>
      </c>
      <c r="G66" s="1020">
        <f>G64/I66</f>
        <v>137.69671849315066</v>
      </c>
      <c r="H66" s="41" t="s">
        <v>1258</v>
      </c>
      <c r="I66" s="476">
        <f>Auswertung!C16+Auswertung!C27</f>
        <v>200</v>
      </c>
      <c r="J66" s="121" t="s">
        <v>1262</v>
      </c>
    </row>
    <row r="67" spans="2:12" ht="9.75" customHeight="1" x14ac:dyDescent="0.25">
      <c r="B67" s="15"/>
      <c r="F67" s="1021"/>
      <c r="G67" s="1013"/>
      <c r="H67" s="112"/>
      <c r="I67" s="112"/>
    </row>
    <row r="68" spans="2:12" ht="18.75" x14ac:dyDescent="0.25">
      <c r="B68" s="15"/>
      <c r="F68" s="1021" t="s">
        <v>328</v>
      </c>
      <c r="G68" s="1013">
        <f>G64/I68</f>
        <v>27539.343698630131</v>
      </c>
      <c r="H68" s="41" t="s">
        <v>1259</v>
      </c>
      <c r="I68" s="1245">
        <v>1</v>
      </c>
      <c r="J68" s="121" t="s">
        <v>1260</v>
      </c>
    </row>
    <row r="69" spans="2:12" ht="17.25" x14ac:dyDescent="0.25">
      <c r="B69" s="15"/>
      <c r="G69" s="1015"/>
    </row>
    <row r="70" spans="2:12" ht="51.75" customHeight="1" x14ac:dyDescent="0.25">
      <c r="B70" s="1570" t="s">
        <v>1261</v>
      </c>
      <c r="C70" s="1570"/>
      <c r="D70" s="1570"/>
      <c r="E70" s="1570"/>
      <c r="F70" s="1570"/>
      <c r="G70" s="1570"/>
      <c r="H70" s="1570"/>
      <c r="I70" s="1570"/>
      <c r="J70" s="1570"/>
      <c r="K70" s="1570"/>
      <c r="L70" s="1570"/>
    </row>
    <row r="71" spans="2:12" ht="17.25" x14ac:dyDescent="0.25">
      <c r="B71" s="15"/>
      <c r="G71" s="1015"/>
    </row>
    <row r="72" spans="2:12" ht="17.25" x14ac:dyDescent="0.25">
      <c r="B72" s="15"/>
      <c r="G72" s="1015"/>
    </row>
    <row r="73" spans="2:12" ht="17.25" x14ac:dyDescent="0.25">
      <c r="B73" s="15"/>
      <c r="G73" s="1015"/>
    </row>
    <row r="74" spans="2:12" ht="15" customHeight="1" x14ac:dyDescent="0.25">
      <c r="B74" s="15"/>
    </row>
    <row r="75" spans="2:12" ht="15.75" customHeight="1" x14ac:dyDescent="0.25"/>
    <row r="77" spans="2:12" ht="15.75" customHeight="1" x14ac:dyDescent="0.25"/>
  </sheetData>
  <sheetProtection sheet="1" formatCells="0" formatColumns="0" formatRows="0" selectLockedCells="1"/>
  <mergeCells count="9">
    <mergeCell ref="B59:B60"/>
    <mergeCell ref="B70:L70"/>
    <mergeCell ref="D5:F5"/>
    <mergeCell ref="H5:K5"/>
    <mergeCell ref="A2:C3"/>
    <mergeCell ref="D2:K3"/>
    <mergeCell ref="D29:F29"/>
    <mergeCell ref="H29:K29"/>
    <mergeCell ref="A4:C4"/>
  </mergeCells>
  <pageMargins left="0.7" right="0.7" top="0.78740157499999996" bottom="0.78740157499999996" header="0.3" footer="0.3"/>
  <pageSetup paperSize="9" scale="70" orientation="landscape" r:id="rId1"/>
  <rowBreaks count="1" manualBreakCount="1">
    <brk id="27"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E00-000000000000}">
          <x14:formula1>
            <xm:f>Düngemittel!$B$33:$B64</xm:f>
          </x14:formula1>
          <xm:sqref>B31:B53</xm:sqref>
        </x14:dataValidation>
        <x14:dataValidation type="list" allowBlank="1" showInputMessage="1" showErrorMessage="1" xr:uid="{00000000-0002-0000-0E00-000001000000}">
          <x14:formula1>
            <xm:f>Düngemittel!$B$33:$B64</xm:f>
          </x14:formula1>
          <xm:sqref>B7:B26</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0"/>
  <dimension ref="A2:AC145"/>
  <sheetViews>
    <sheetView workbookViewId="0"/>
  </sheetViews>
  <sheetFormatPr baseColWidth="10" defaultRowHeight="15" x14ac:dyDescent="0.25"/>
  <cols>
    <col min="1" max="1" width="1.140625" customWidth="1"/>
    <col min="2" max="2" width="53.42578125" customWidth="1"/>
    <col min="3" max="3" width="11" customWidth="1"/>
    <col min="4" max="4" width="15.140625" customWidth="1"/>
    <col min="5" max="5" width="7.28515625" customWidth="1"/>
    <col min="6" max="6" width="8.7109375" customWidth="1"/>
    <col min="7" max="7" width="9.140625" customWidth="1"/>
    <col min="8" max="8" width="19.28515625" customWidth="1"/>
    <col min="9" max="9" width="21.28515625" customWidth="1"/>
    <col min="10" max="10" width="23.5703125" customWidth="1"/>
    <col min="11" max="11" width="23.5703125" style="275" customWidth="1"/>
    <col min="12" max="12" width="13.85546875" customWidth="1"/>
    <col min="13" max="13" width="34.85546875" bestFit="1" customWidth="1"/>
    <col min="14" max="14" width="16.85546875" customWidth="1"/>
    <col min="15" max="15" width="21" customWidth="1"/>
    <col min="16" max="16" width="18.5703125" customWidth="1"/>
    <col min="17" max="17" width="17" customWidth="1"/>
    <col min="18" max="19" width="24.85546875" bestFit="1" customWidth="1"/>
    <col min="20" max="20" width="31" bestFit="1" customWidth="1"/>
    <col min="21" max="21" width="30.5703125" bestFit="1" customWidth="1"/>
    <col min="22" max="22" width="18.140625" bestFit="1" customWidth="1"/>
    <col min="23" max="23" width="17.140625" bestFit="1" customWidth="1"/>
    <col min="24" max="29" width="17.5703125" customWidth="1"/>
  </cols>
  <sheetData>
    <row r="2" spans="1:21" s="798" customFormat="1" ht="12.75" x14ac:dyDescent="0.2">
      <c r="B2" s="126">
        <v>1</v>
      </c>
      <c r="C2" s="126">
        <v>2</v>
      </c>
      <c r="D2" s="126">
        <v>3</v>
      </c>
      <c r="E2" s="798">
        <v>4</v>
      </c>
      <c r="F2" s="798">
        <v>5</v>
      </c>
      <c r="G2" s="798">
        <v>6</v>
      </c>
      <c r="H2" s="126">
        <v>7</v>
      </c>
      <c r="I2" s="126">
        <v>8</v>
      </c>
      <c r="J2" s="798">
        <v>9</v>
      </c>
      <c r="K2" s="1070">
        <v>10</v>
      </c>
    </row>
    <row r="3" spans="1:21" x14ac:dyDescent="0.25">
      <c r="B3" s="152"/>
      <c r="C3" s="152"/>
    </row>
    <row r="4" spans="1:21" ht="24.75" customHeight="1" x14ac:dyDescent="0.3">
      <c r="B4" s="1571" t="s">
        <v>1218</v>
      </c>
      <c r="C4" s="1572"/>
      <c r="D4" s="1572"/>
      <c r="E4" s="1572"/>
      <c r="F4" s="1572"/>
      <c r="G4" s="1572"/>
      <c r="H4" s="1572"/>
      <c r="I4" s="1572"/>
      <c r="J4" s="1572"/>
      <c r="K4" s="1572"/>
    </row>
    <row r="5" spans="1:21" ht="64.5" customHeight="1" x14ac:dyDescent="0.25">
      <c r="A5" s="1580" t="s">
        <v>1221</v>
      </c>
      <c r="B5" s="1475" t="s">
        <v>266</v>
      </c>
      <c r="C5" s="669"/>
      <c r="D5" s="1468" t="s">
        <v>267</v>
      </c>
      <c r="E5" s="1280" t="s">
        <v>855</v>
      </c>
      <c r="F5" s="1280"/>
      <c r="G5" s="1280"/>
      <c r="H5" s="1280" t="s">
        <v>1108</v>
      </c>
      <c r="I5" s="1280"/>
      <c r="J5" s="1579" t="s">
        <v>1270</v>
      </c>
      <c r="K5" s="1579"/>
      <c r="L5" s="803" t="s">
        <v>1109</v>
      </c>
    </row>
    <row r="6" spans="1:21" ht="31.5" customHeight="1" x14ac:dyDescent="0.25">
      <c r="A6" s="1580"/>
      <c r="B6" s="1287"/>
      <c r="C6" s="155" t="s">
        <v>856</v>
      </c>
      <c r="D6" s="1471"/>
      <c r="E6" s="312" t="s">
        <v>268</v>
      </c>
      <c r="F6" s="312" t="s">
        <v>269</v>
      </c>
      <c r="G6" s="345" t="s">
        <v>270</v>
      </c>
      <c r="H6" s="153" t="s">
        <v>733</v>
      </c>
      <c r="I6" s="153" t="s">
        <v>857</v>
      </c>
      <c r="J6" s="312" t="s">
        <v>733</v>
      </c>
      <c r="K6" s="791" t="s">
        <v>737</v>
      </c>
      <c r="L6" s="519"/>
      <c r="N6" s="1573" t="s">
        <v>1103</v>
      </c>
      <c r="O6" s="1574"/>
      <c r="P6" s="1573" t="s">
        <v>1271</v>
      </c>
      <c r="Q6" s="1574"/>
      <c r="R6" s="792"/>
      <c r="S6" s="1335"/>
      <c r="T6" s="1335"/>
      <c r="U6" s="1335"/>
    </row>
    <row r="7" spans="1:21" ht="15.75" customHeight="1" x14ac:dyDescent="0.25">
      <c r="B7" s="670" t="s">
        <v>805</v>
      </c>
      <c r="C7" s="155">
        <v>0</v>
      </c>
      <c r="D7" s="560">
        <v>0</v>
      </c>
      <c r="E7" s="744">
        <v>0</v>
      </c>
      <c r="F7" s="744">
        <v>0</v>
      </c>
      <c r="G7" s="762">
        <v>0</v>
      </c>
      <c r="H7" s="671">
        <v>0</v>
      </c>
      <c r="I7" s="671">
        <v>0</v>
      </c>
      <c r="J7" s="160">
        <v>0</v>
      </c>
      <c r="K7" s="966">
        <v>0</v>
      </c>
      <c r="L7" s="60"/>
      <c r="N7" s="1575"/>
      <c r="O7" s="1576"/>
      <c r="P7" s="1575"/>
      <c r="Q7" s="1576"/>
      <c r="R7" s="792"/>
      <c r="S7" s="1335"/>
      <c r="T7" s="1335"/>
      <c r="U7" s="1335"/>
    </row>
    <row r="8" spans="1:21" ht="15.75" x14ac:dyDescent="0.25">
      <c r="B8" s="154" t="s">
        <v>858</v>
      </c>
      <c r="C8" s="155">
        <v>2</v>
      </c>
      <c r="D8" s="155" t="s">
        <v>271</v>
      </c>
      <c r="E8" s="744">
        <v>57</v>
      </c>
      <c r="F8" s="744">
        <v>16.399999999999999</v>
      </c>
      <c r="G8" s="157">
        <f>159/27*12</f>
        <v>70.666666666666671</v>
      </c>
      <c r="H8" s="671">
        <v>0.85</v>
      </c>
      <c r="I8" s="671">
        <v>0.7</v>
      </c>
      <c r="J8" s="762">
        <v>0.51</v>
      </c>
      <c r="K8" s="1071">
        <v>0.17499999999999999</v>
      </c>
      <c r="L8" s="60"/>
      <c r="M8" s="158"/>
      <c r="N8" s="1577"/>
      <c r="O8" s="1578"/>
      <c r="P8" s="1577"/>
      <c r="Q8" s="1578"/>
      <c r="R8" s="792"/>
      <c r="S8" s="1335"/>
      <c r="T8" s="1335"/>
      <c r="U8" s="1335"/>
    </row>
    <row r="9" spans="1:21" ht="16.5" customHeight="1" x14ac:dyDescent="0.25">
      <c r="B9" s="154" t="s">
        <v>859</v>
      </c>
      <c r="C9" s="155">
        <v>3</v>
      </c>
      <c r="D9" s="155" t="s">
        <v>271</v>
      </c>
      <c r="E9" s="744">
        <v>54</v>
      </c>
      <c r="F9" s="744">
        <v>16</v>
      </c>
      <c r="G9" s="762">
        <f>135/27*12</f>
        <v>60</v>
      </c>
      <c r="H9" s="671">
        <v>0.85</v>
      </c>
      <c r="I9" s="671">
        <v>0.7</v>
      </c>
      <c r="J9" s="762">
        <v>0.51</v>
      </c>
      <c r="K9" s="1071">
        <v>0.17499999999999999</v>
      </c>
      <c r="L9" s="60"/>
      <c r="M9" s="698" t="s">
        <v>273</v>
      </c>
      <c r="N9" s="159" t="s">
        <v>1107</v>
      </c>
      <c r="O9" s="159" t="s">
        <v>1114</v>
      </c>
      <c r="P9" s="159" t="s">
        <v>1106</v>
      </c>
      <c r="Q9" s="159" t="s">
        <v>288</v>
      </c>
      <c r="R9" s="792"/>
      <c r="S9" s="124"/>
      <c r="T9" s="1382"/>
      <c r="U9" s="1382"/>
    </row>
    <row r="10" spans="1:21" ht="15.75" x14ac:dyDescent="0.25">
      <c r="B10" s="154" t="s">
        <v>860</v>
      </c>
      <c r="C10" s="155">
        <v>4</v>
      </c>
      <c r="D10" s="155" t="s">
        <v>271</v>
      </c>
      <c r="E10" s="744">
        <v>48</v>
      </c>
      <c r="F10" s="744">
        <v>15.5</v>
      </c>
      <c r="G10" s="157">
        <f>133/27*12</f>
        <v>59.111111111111107</v>
      </c>
      <c r="H10" s="671">
        <v>0.85</v>
      </c>
      <c r="I10" s="671">
        <v>0.7</v>
      </c>
      <c r="J10" s="762">
        <v>0.51</v>
      </c>
      <c r="K10" s="1071">
        <v>0.17499999999999999</v>
      </c>
      <c r="L10" s="60"/>
      <c r="M10" s="791" t="s">
        <v>274</v>
      </c>
      <c r="N10" s="698">
        <v>0.85</v>
      </c>
      <c r="O10" s="698">
        <v>0.7</v>
      </c>
      <c r="P10" s="698">
        <v>0.6</v>
      </c>
      <c r="Q10" s="698">
        <v>0.25</v>
      </c>
      <c r="R10" s="792"/>
      <c r="S10" s="123"/>
      <c r="T10" s="1382"/>
      <c r="U10" s="1382"/>
    </row>
    <row r="11" spans="1:21" ht="15.75" x14ac:dyDescent="0.25">
      <c r="B11" s="154" t="s">
        <v>861</v>
      </c>
      <c r="C11" s="155">
        <v>5</v>
      </c>
      <c r="D11" s="155" t="s">
        <v>271</v>
      </c>
      <c r="E11" s="744">
        <v>45</v>
      </c>
      <c r="F11" s="744">
        <v>15</v>
      </c>
      <c r="G11" s="157">
        <f>124/27*12</f>
        <v>55.111111111111114</v>
      </c>
      <c r="H11" s="671">
        <v>0.85</v>
      </c>
      <c r="I11" s="671">
        <v>0.7</v>
      </c>
      <c r="J11" s="762">
        <v>0.51</v>
      </c>
      <c r="K11" s="1071">
        <v>0.17499999999999999</v>
      </c>
      <c r="L11" s="60"/>
      <c r="M11" s="791" t="s">
        <v>275</v>
      </c>
      <c r="N11" s="698">
        <v>0.8</v>
      </c>
      <c r="O11" s="698">
        <v>0.7</v>
      </c>
      <c r="P11" s="698">
        <v>0.7</v>
      </c>
      <c r="Q11" s="698">
        <v>0.3</v>
      </c>
      <c r="R11" s="792"/>
      <c r="S11" s="123"/>
      <c r="T11" s="1382"/>
      <c r="U11" s="1382"/>
    </row>
    <row r="12" spans="1:21" ht="15.75" x14ac:dyDescent="0.25">
      <c r="A12">
        <v>10</v>
      </c>
      <c r="B12" s="154" t="s">
        <v>862</v>
      </c>
      <c r="C12" s="155">
        <v>6</v>
      </c>
      <c r="D12" s="155" t="s">
        <v>271</v>
      </c>
      <c r="E12" s="744">
        <v>114</v>
      </c>
      <c r="F12" s="744">
        <v>36</v>
      </c>
      <c r="G12" s="762">
        <v>134</v>
      </c>
      <c r="H12" s="671">
        <v>0.85</v>
      </c>
      <c r="I12" s="671">
        <v>0.7</v>
      </c>
      <c r="J12" s="762">
        <v>0.51</v>
      </c>
      <c r="K12" s="1071">
        <v>0.17499999999999999</v>
      </c>
      <c r="L12" s="60"/>
      <c r="M12" s="791" t="s">
        <v>276</v>
      </c>
      <c r="N12" s="161"/>
      <c r="O12" s="698">
        <v>0.6</v>
      </c>
      <c r="P12" s="698">
        <v>0.6</v>
      </c>
      <c r="Q12" s="698">
        <v>0.3</v>
      </c>
      <c r="R12" s="792"/>
      <c r="S12" s="124"/>
      <c r="T12" s="1382"/>
      <c r="U12" s="1382"/>
    </row>
    <row r="13" spans="1:21" ht="15.75" x14ac:dyDescent="0.25">
      <c r="A13">
        <v>13</v>
      </c>
      <c r="B13" s="154" t="s">
        <v>863</v>
      </c>
      <c r="C13" s="155">
        <v>7</v>
      </c>
      <c r="D13" s="155" t="s">
        <v>271</v>
      </c>
      <c r="E13" s="744">
        <v>109</v>
      </c>
      <c r="F13" s="744">
        <v>37</v>
      </c>
      <c r="G13" s="762">
        <v>129</v>
      </c>
      <c r="H13" s="671">
        <v>0.85</v>
      </c>
      <c r="I13" s="671">
        <v>0.7</v>
      </c>
      <c r="J13" s="762">
        <v>0.51</v>
      </c>
      <c r="K13" s="1071">
        <v>0.17499999999999999</v>
      </c>
      <c r="L13" s="60"/>
      <c r="M13" s="791" t="s">
        <v>277</v>
      </c>
      <c r="N13" s="698"/>
      <c r="O13" s="698">
        <v>0.55000000000000004</v>
      </c>
      <c r="P13" s="698"/>
      <c r="Q13" s="698">
        <v>0.25</v>
      </c>
      <c r="R13" s="792"/>
      <c r="S13" s="124"/>
      <c r="T13" s="1382"/>
      <c r="U13" s="1382"/>
    </row>
    <row r="14" spans="1:21" ht="15.75" x14ac:dyDescent="0.25">
      <c r="A14">
        <v>17</v>
      </c>
      <c r="B14" s="154" t="s">
        <v>864</v>
      </c>
      <c r="C14" s="155">
        <v>8</v>
      </c>
      <c r="D14" s="155" t="s">
        <v>271</v>
      </c>
      <c r="E14" s="744">
        <v>103</v>
      </c>
      <c r="F14" s="744">
        <v>37</v>
      </c>
      <c r="G14" s="762">
        <v>109</v>
      </c>
      <c r="H14" s="671">
        <v>0.85</v>
      </c>
      <c r="I14" s="671">
        <v>0.7</v>
      </c>
      <c r="J14" s="762">
        <v>0.51</v>
      </c>
      <c r="K14" s="1071">
        <v>0.17499999999999999</v>
      </c>
      <c r="L14" s="60"/>
      <c r="M14" s="791" t="s">
        <v>1104</v>
      </c>
      <c r="N14" s="698">
        <v>0.95</v>
      </c>
      <c r="O14" s="698"/>
      <c r="P14" s="698">
        <v>0.6</v>
      </c>
      <c r="Q14" s="698"/>
      <c r="R14" s="792"/>
      <c r="S14" s="124"/>
      <c r="T14" s="1382"/>
      <c r="U14" s="1382"/>
    </row>
    <row r="15" spans="1:21" ht="15.75" x14ac:dyDescent="0.25">
      <c r="A15">
        <v>21</v>
      </c>
      <c r="B15" s="154" t="s">
        <v>865</v>
      </c>
      <c r="C15" s="155">
        <v>9</v>
      </c>
      <c r="D15" s="155" t="s">
        <v>271</v>
      </c>
      <c r="E15" s="744">
        <v>100</v>
      </c>
      <c r="F15" s="744">
        <v>36</v>
      </c>
      <c r="G15" s="762">
        <v>104</v>
      </c>
      <c r="H15" s="671">
        <v>0.85</v>
      </c>
      <c r="I15" s="671">
        <v>0.7</v>
      </c>
      <c r="J15" s="762">
        <v>0.51</v>
      </c>
      <c r="K15" s="1071">
        <v>0.17499999999999999</v>
      </c>
      <c r="L15" s="60"/>
      <c r="M15" s="791" t="s">
        <v>1105</v>
      </c>
      <c r="N15" s="698">
        <v>0.95</v>
      </c>
      <c r="O15" s="698"/>
      <c r="P15" s="698">
        <v>0.3</v>
      </c>
      <c r="Q15" s="698"/>
      <c r="S15" s="1382"/>
      <c r="T15" s="1382"/>
      <c r="U15" s="1382"/>
    </row>
    <row r="16" spans="1:21" ht="15.75" x14ac:dyDescent="0.25">
      <c r="A16">
        <v>25</v>
      </c>
      <c r="B16" s="154" t="s">
        <v>866</v>
      </c>
      <c r="C16" s="155">
        <v>10</v>
      </c>
      <c r="D16" s="155" t="s">
        <v>271</v>
      </c>
      <c r="E16" s="744">
        <v>76</v>
      </c>
      <c r="F16" s="744">
        <v>27</v>
      </c>
      <c r="G16" s="762">
        <v>84</v>
      </c>
      <c r="H16" s="671">
        <v>0.85</v>
      </c>
      <c r="I16" s="671">
        <v>0.7</v>
      </c>
      <c r="J16" s="762">
        <v>0.51</v>
      </c>
      <c r="K16" s="1071">
        <v>0.17499999999999999</v>
      </c>
      <c r="L16" s="60"/>
      <c r="M16" s="60"/>
    </row>
    <row r="17" spans="1:29" ht="15.75" x14ac:dyDescent="0.25">
      <c r="A17">
        <v>3</v>
      </c>
      <c r="B17" s="154" t="s">
        <v>867</v>
      </c>
      <c r="C17" s="155">
        <v>1</v>
      </c>
      <c r="D17" s="155" t="s">
        <v>271</v>
      </c>
      <c r="E17" s="744">
        <v>16.600000000000001</v>
      </c>
      <c r="F17" s="744">
        <v>6.4</v>
      </c>
      <c r="G17" s="762">
        <v>15.3</v>
      </c>
      <c r="H17" s="671">
        <v>0.85</v>
      </c>
      <c r="I17" s="671">
        <v>0.7</v>
      </c>
      <c r="J17" s="762">
        <v>0.51</v>
      </c>
      <c r="K17" s="1071">
        <v>0.17499999999999999</v>
      </c>
      <c r="L17" s="60"/>
      <c r="M17" s="60"/>
    </row>
    <row r="18" spans="1:29" ht="15.75" x14ac:dyDescent="0.25">
      <c r="A18">
        <v>30</v>
      </c>
      <c r="B18" s="154" t="s">
        <v>868</v>
      </c>
      <c r="C18" s="155">
        <v>11</v>
      </c>
      <c r="D18" s="155" t="s">
        <v>271</v>
      </c>
      <c r="E18" s="744">
        <v>31</v>
      </c>
      <c r="F18" s="744">
        <v>12.7</v>
      </c>
      <c r="G18" s="762">
        <v>23</v>
      </c>
      <c r="H18" s="671">
        <v>0.85</v>
      </c>
      <c r="I18" s="671">
        <v>0.7</v>
      </c>
      <c r="J18" s="762">
        <v>0.51</v>
      </c>
      <c r="K18" s="1071">
        <v>0.17499999999999999</v>
      </c>
      <c r="L18" s="60"/>
      <c r="M18" s="60"/>
    </row>
    <row r="19" spans="1:29" ht="15.75" x14ac:dyDescent="0.25">
      <c r="A19">
        <v>31</v>
      </c>
      <c r="B19" s="154" t="s">
        <v>869</v>
      </c>
      <c r="C19" s="155">
        <v>12</v>
      </c>
      <c r="D19" s="155" t="s">
        <v>271</v>
      </c>
      <c r="E19" s="744">
        <v>13</v>
      </c>
      <c r="F19" s="744">
        <v>6.5</v>
      </c>
      <c r="G19" s="762">
        <v>13</v>
      </c>
      <c r="H19" s="671">
        <v>0.85</v>
      </c>
      <c r="I19" s="671">
        <v>0.7</v>
      </c>
      <c r="J19" s="762">
        <v>0.51</v>
      </c>
      <c r="K19" s="1071">
        <v>0.17499999999999999</v>
      </c>
      <c r="L19" s="60"/>
      <c r="M19" s="1585" t="s">
        <v>870</v>
      </c>
      <c r="N19" s="1585"/>
      <c r="O19" s="1585"/>
      <c r="P19" s="1585"/>
      <c r="Q19" s="1585"/>
      <c r="R19" s="1585"/>
      <c r="S19" s="1585"/>
      <c r="T19" s="1585"/>
      <c r="U19" s="1585"/>
      <c r="V19" s="1585"/>
      <c r="W19" s="1585"/>
    </row>
    <row r="20" spans="1:29" ht="15.75" customHeight="1" x14ac:dyDescent="0.25">
      <c r="A20">
        <v>32</v>
      </c>
      <c r="B20" s="154" t="s">
        <v>871</v>
      </c>
      <c r="C20" s="155">
        <v>13</v>
      </c>
      <c r="D20" s="155" t="s">
        <v>271</v>
      </c>
      <c r="E20" s="744">
        <v>15.9</v>
      </c>
      <c r="F20" s="744">
        <v>7.3</v>
      </c>
      <c r="G20" s="762">
        <v>14</v>
      </c>
      <c r="H20" s="671">
        <v>0.85</v>
      </c>
      <c r="I20" s="671">
        <v>0.7</v>
      </c>
      <c r="J20" s="762">
        <v>0.51</v>
      </c>
      <c r="K20" s="1071">
        <v>0.17499999999999999</v>
      </c>
      <c r="L20" s="60"/>
      <c r="M20" s="672"/>
      <c r="N20" s="1586" t="s">
        <v>872</v>
      </c>
      <c r="O20" s="1587"/>
      <c r="P20" s="1587"/>
      <c r="Q20" s="1587"/>
      <c r="R20" s="1587"/>
      <c r="S20" s="1588"/>
      <c r="T20" s="1586"/>
      <c r="U20" s="1587"/>
      <c r="V20" s="1587"/>
      <c r="W20" s="1587"/>
      <c r="X20" s="1587"/>
      <c r="Y20" s="1588"/>
      <c r="Z20" s="1581" t="s">
        <v>873</v>
      </c>
      <c r="AA20" s="1581"/>
      <c r="AB20" s="1581"/>
      <c r="AC20" s="1581"/>
    </row>
    <row r="21" spans="1:29" ht="15.75" customHeight="1" x14ac:dyDescent="0.35">
      <c r="A21">
        <v>33</v>
      </c>
      <c r="B21" s="154" t="s">
        <v>874</v>
      </c>
      <c r="C21" s="155">
        <v>14</v>
      </c>
      <c r="D21" s="155" t="s">
        <v>271</v>
      </c>
      <c r="E21" s="744">
        <v>15.7</v>
      </c>
      <c r="F21" s="744">
        <v>5.4</v>
      </c>
      <c r="G21" s="762">
        <v>15</v>
      </c>
      <c r="H21" s="671">
        <v>0.85</v>
      </c>
      <c r="I21" s="671">
        <v>0.7</v>
      </c>
      <c r="J21" s="762">
        <v>0.51</v>
      </c>
      <c r="K21" s="1071">
        <v>0.17499999999999999</v>
      </c>
      <c r="L21" s="60"/>
      <c r="M21" s="799" t="s">
        <v>875</v>
      </c>
      <c r="N21" s="799" t="s">
        <v>876</v>
      </c>
      <c r="O21" s="799" t="s">
        <v>877</v>
      </c>
      <c r="P21" s="673" t="s">
        <v>1110</v>
      </c>
      <c r="Q21" s="673" t="s">
        <v>1111</v>
      </c>
      <c r="R21" s="799" t="s">
        <v>1112</v>
      </c>
      <c r="S21" s="799" t="s">
        <v>1113</v>
      </c>
      <c r="T21" s="799"/>
      <c r="U21" s="799"/>
      <c r="V21" s="673"/>
      <c r="W21" s="673"/>
      <c r="X21" s="799"/>
      <c r="Y21" s="799"/>
      <c r="Z21" s="799" t="s">
        <v>878</v>
      </c>
      <c r="AA21" s="799" t="s">
        <v>879</v>
      </c>
      <c r="AB21" s="799" t="s">
        <v>880</v>
      </c>
      <c r="AC21" s="799" t="s">
        <v>881</v>
      </c>
    </row>
    <row r="22" spans="1:29" ht="15.75" customHeight="1" x14ac:dyDescent="0.25">
      <c r="A22">
        <v>34</v>
      </c>
      <c r="B22" s="154" t="s">
        <v>882</v>
      </c>
      <c r="C22" s="155">
        <v>15</v>
      </c>
      <c r="D22" s="155" t="s">
        <v>271</v>
      </c>
      <c r="E22" s="744">
        <v>14.6</v>
      </c>
      <c r="F22" s="744">
        <v>4.5</v>
      </c>
      <c r="G22" s="762">
        <v>15</v>
      </c>
      <c r="H22" s="671">
        <v>0.85</v>
      </c>
      <c r="I22" s="671">
        <v>0.7</v>
      </c>
      <c r="J22" s="762">
        <v>0.51</v>
      </c>
      <c r="K22" s="1071">
        <v>0.17499999999999999</v>
      </c>
      <c r="L22" s="60"/>
      <c r="M22" s="799" t="s">
        <v>883</v>
      </c>
      <c r="N22" s="799" t="s">
        <v>884</v>
      </c>
      <c r="O22" s="799" t="s">
        <v>885</v>
      </c>
      <c r="P22" s="799" t="s">
        <v>886</v>
      </c>
      <c r="Q22" s="799" t="s">
        <v>887</v>
      </c>
      <c r="R22" s="799" t="s">
        <v>888</v>
      </c>
      <c r="S22" s="799" t="s">
        <v>888</v>
      </c>
      <c r="T22" s="799"/>
      <c r="U22" s="799"/>
      <c r="V22" s="799"/>
      <c r="W22" s="799"/>
      <c r="X22" s="799"/>
      <c r="Y22" s="799"/>
      <c r="Z22" s="799" t="s">
        <v>889</v>
      </c>
      <c r="AA22" s="799" t="s">
        <v>890</v>
      </c>
      <c r="AB22" s="799" t="s">
        <v>891</v>
      </c>
      <c r="AC22" s="799" t="s">
        <v>892</v>
      </c>
    </row>
    <row r="23" spans="1:29" ht="15.75" customHeight="1" x14ac:dyDescent="0.25">
      <c r="A23">
        <v>36</v>
      </c>
      <c r="B23" s="154" t="s">
        <v>893</v>
      </c>
      <c r="C23" s="155">
        <v>16</v>
      </c>
      <c r="D23" s="155" t="s">
        <v>271</v>
      </c>
      <c r="E23" s="744">
        <v>36.6</v>
      </c>
      <c r="F23" s="744">
        <v>14.2</v>
      </c>
      <c r="G23" s="762">
        <v>30.3</v>
      </c>
      <c r="H23" s="671">
        <v>0.85</v>
      </c>
      <c r="I23" s="671">
        <v>0.7</v>
      </c>
      <c r="J23" s="762">
        <v>0.51</v>
      </c>
      <c r="K23" s="1071">
        <v>0.17499999999999999</v>
      </c>
      <c r="L23" s="60"/>
      <c r="M23" s="799" t="s">
        <v>894</v>
      </c>
      <c r="N23" s="799" t="s">
        <v>895</v>
      </c>
      <c r="O23" s="799" t="s">
        <v>896</v>
      </c>
      <c r="P23" s="799" t="s">
        <v>897</v>
      </c>
      <c r="Q23" s="799" t="s">
        <v>898</v>
      </c>
      <c r="R23" s="799" t="s">
        <v>899</v>
      </c>
      <c r="S23" s="799" t="s">
        <v>900</v>
      </c>
      <c r="T23" s="799"/>
      <c r="U23" s="799"/>
      <c r="V23" s="799"/>
      <c r="W23" s="799"/>
      <c r="X23" s="799"/>
      <c r="Y23" s="799"/>
      <c r="Z23" s="799" t="s">
        <v>889</v>
      </c>
      <c r="AA23" s="799" t="s">
        <v>890</v>
      </c>
      <c r="AB23" s="799" t="s">
        <v>891</v>
      </c>
      <c r="AC23" s="799" t="s">
        <v>892</v>
      </c>
    </row>
    <row r="24" spans="1:29" ht="15.75" customHeight="1" x14ac:dyDescent="0.25">
      <c r="A24">
        <v>37</v>
      </c>
      <c r="B24" s="154" t="s">
        <v>901</v>
      </c>
      <c r="C24" s="155">
        <v>17</v>
      </c>
      <c r="D24" s="155" t="s">
        <v>271</v>
      </c>
      <c r="E24" s="744">
        <v>39.1</v>
      </c>
      <c r="F24" s="744">
        <v>14.3</v>
      </c>
      <c r="G24" s="762">
        <v>31.6</v>
      </c>
      <c r="H24" s="671">
        <v>0.85</v>
      </c>
      <c r="I24" s="671">
        <v>0.7</v>
      </c>
      <c r="J24" s="762">
        <v>0.51</v>
      </c>
      <c r="K24" s="1071">
        <v>0.17499999999999999</v>
      </c>
      <c r="L24" s="60"/>
      <c r="M24" s="799" t="s">
        <v>864</v>
      </c>
      <c r="N24" s="799" t="s">
        <v>902</v>
      </c>
      <c r="O24" s="799" t="s">
        <v>903</v>
      </c>
      <c r="P24" s="799" t="s">
        <v>904</v>
      </c>
      <c r="Q24" s="799" t="s">
        <v>904</v>
      </c>
      <c r="R24" s="799" t="s">
        <v>905</v>
      </c>
      <c r="S24" s="799" t="s">
        <v>906</v>
      </c>
      <c r="T24" s="799"/>
      <c r="U24" s="799"/>
      <c r="V24" s="799"/>
      <c r="W24" s="799"/>
      <c r="X24" s="799"/>
      <c r="Y24" s="799"/>
      <c r="Z24" s="799" t="s">
        <v>889</v>
      </c>
      <c r="AA24" s="799" t="s">
        <v>890</v>
      </c>
      <c r="AB24" s="799" t="s">
        <v>891</v>
      </c>
      <c r="AC24" s="799" t="s">
        <v>892</v>
      </c>
    </row>
    <row r="25" spans="1:29" ht="15.75" customHeight="1" x14ac:dyDescent="0.25">
      <c r="A25">
        <v>38</v>
      </c>
      <c r="B25" s="154" t="s">
        <v>907</v>
      </c>
      <c r="C25" s="155">
        <v>18</v>
      </c>
      <c r="D25" s="155" t="s">
        <v>271</v>
      </c>
      <c r="E25" s="744">
        <v>40.700000000000003</v>
      </c>
      <c r="F25" s="744">
        <v>14.7</v>
      </c>
      <c r="G25" s="762">
        <v>30.9</v>
      </c>
      <c r="H25" s="671">
        <v>0.85</v>
      </c>
      <c r="I25" s="671">
        <v>0.7</v>
      </c>
      <c r="J25" s="762">
        <v>0.51</v>
      </c>
      <c r="K25" s="1071">
        <v>0.17499999999999999</v>
      </c>
      <c r="L25" s="60"/>
      <c r="M25" s="799" t="s">
        <v>908</v>
      </c>
      <c r="N25" s="799" t="s">
        <v>909</v>
      </c>
      <c r="O25" s="799" t="s">
        <v>910</v>
      </c>
      <c r="P25" s="799" t="s">
        <v>911</v>
      </c>
      <c r="Q25" s="799" t="s">
        <v>904</v>
      </c>
      <c r="R25" s="799" t="s">
        <v>912</v>
      </c>
      <c r="S25" s="799" t="s">
        <v>913</v>
      </c>
      <c r="T25" s="799"/>
      <c r="U25" s="799"/>
      <c r="V25" s="799"/>
      <c r="W25" s="799"/>
      <c r="X25" s="799"/>
      <c r="Y25" s="799"/>
      <c r="Z25" s="799" t="s">
        <v>889</v>
      </c>
      <c r="AA25" s="799" t="s">
        <v>890</v>
      </c>
      <c r="AB25" s="799" t="s">
        <v>891</v>
      </c>
      <c r="AC25" s="799" t="s">
        <v>892</v>
      </c>
    </row>
    <row r="26" spans="1:29" ht="15.75" customHeight="1" x14ac:dyDescent="0.25">
      <c r="A26">
        <v>39</v>
      </c>
      <c r="B26" s="154" t="s">
        <v>914</v>
      </c>
      <c r="C26" s="155">
        <v>19</v>
      </c>
      <c r="D26" s="155" t="s">
        <v>271</v>
      </c>
      <c r="E26" s="744">
        <v>41.3</v>
      </c>
      <c r="F26" s="744">
        <v>14.8</v>
      </c>
      <c r="G26" s="762">
        <v>27.8</v>
      </c>
      <c r="H26" s="671">
        <v>0.85</v>
      </c>
      <c r="I26" s="671">
        <v>0.7</v>
      </c>
      <c r="J26" s="762">
        <v>0.51</v>
      </c>
      <c r="K26" s="1071">
        <v>0.17499999999999999</v>
      </c>
      <c r="L26" s="60"/>
      <c r="M26" s="799" t="s">
        <v>915</v>
      </c>
      <c r="N26" s="799" t="s">
        <v>916</v>
      </c>
      <c r="O26" s="799" t="s">
        <v>917</v>
      </c>
      <c r="P26" s="799" t="s">
        <v>918</v>
      </c>
      <c r="Q26" s="799" t="s">
        <v>919</v>
      </c>
      <c r="R26" s="799" t="s">
        <v>920</v>
      </c>
      <c r="S26" s="799" t="s">
        <v>920</v>
      </c>
      <c r="T26" s="799"/>
      <c r="U26" s="799"/>
      <c r="V26" s="799"/>
      <c r="W26" s="799"/>
      <c r="X26" s="799"/>
      <c r="Y26" s="799"/>
      <c r="Z26" s="799" t="s">
        <v>921</v>
      </c>
      <c r="AA26" s="799" t="s">
        <v>921</v>
      </c>
      <c r="AB26" s="799" t="s">
        <v>891</v>
      </c>
      <c r="AC26" s="799" t="s">
        <v>892</v>
      </c>
    </row>
    <row r="27" spans="1:29" ht="15.75" x14ac:dyDescent="0.25">
      <c r="A27">
        <v>41</v>
      </c>
      <c r="B27" s="154" t="s">
        <v>922</v>
      </c>
      <c r="C27" s="155">
        <v>20</v>
      </c>
      <c r="D27" s="155" t="s">
        <v>271</v>
      </c>
      <c r="E27" s="744">
        <v>88</v>
      </c>
      <c r="F27" s="744">
        <v>26</v>
      </c>
      <c r="G27" s="762">
        <v>104</v>
      </c>
      <c r="H27" s="671">
        <v>0.85</v>
      </c>
      <c r="I27" s="671">
        <v>0.7</v>
      </c>
      <c r="J27" s="762">
        <v>0.51</v>
      </c>
      <c r="K27" s="1071">
        <v>0.17499999999999999</v>
      </c>
      <c r="L27" s="60"/>
      <c r="N27" s="1582" t="s">
        <v>923</v>
      </c>
      <c r="O27" s="1583"/>
      <c r="P27" s="1584"/>
    </row>
    <row r="28" spans="1:29" ht="18.75" x14ac:dyDescent="0.25">
      <c r="A28">
        <v>42</v>
      </c>
      <c r="B28" s="154" t="s">
        <v>924</v>
      </c>
      <c r="C28" s="155">
        <v>21</v>
      </c>
      <c r="D28" s="155" t="s">
        <v>271</v>
      </c>
      <c r="E28" s="744">
        <v>105</v>
      </c>
      <c r="F28" s="744">
        <v>31</v>
      </c>
      <c r="G28" s="762">
        <v>129</v>
      </c>
      <c r="H28" s="671">
        <v>0.85</v>
      </c>
      <c r="I28" s="671">
        <v>0.7</v>
      </c>
      <c r="J28" s="762">
        <v>0.51</v>
      </c>
      <c r="K28" s="1071">
        <v>0.17499999999999999</v>
      </c>
      <c r="L28" s="60"/>
      <c r="M28" s="698" t="s">
        <v>925</v>
      </c>
      <c r="N28" s="698" t="s">
        <v>268</v>
      </c>
      <c r="O28" s="698" t="s">
        <v>926</v>
      </c>
      <c r="P28" s="698" t="s">
        <v>927</v>
      </c>
    </row>
    <row r="29" spans="1:29" ht="18" customHeight="1" x14ac:dyDescent="0.25">
      <c r="A29">
        <v>43</v>
      </c>
      <c r="B29" s="674" t="s">
        <v>928</v>
      </c>
      <c r="C29" s="155">
        <v>22</v>
      </c>
      <c r="D29" s="155" t="s">
        <v>271</v>
      </c>
      <c r="E29" s="744">
        <v>114</v>
      </c>
      <c r="F29" s="744">
        <v>33</v>
      </c>
      <c r="G29" s="762">
        <v>142</v>
      </c>
      <c r="H29" s="671">
        <v>0.85</v>
      </c>
      <c r="I29" s="671">
        <v>0.7</v>
      </c>
      <c r="J29" s="762">
        <v>0.51</v>
      </c>
      <c r="K29" s="1071">
        <v>0.17499999999999999</v>
      </c>
      <c r="L29" s="60"/>
      <c r="M29" s="698" t="s">
        <v>929</v>
      </c>
      <c r="N29" s="698" t="s">
        <v>930</v>
      </c>
      <c r="O29" s="698" t="s">
        <v>931</v>
      </c>
      <c r="P29" s="698" t="s">
        <v>932</v>
      </c>
    </row>
    <row r="30" spans="1:29" ht="16.5" customHeight="1" x14ac:dyDescent="0.25">
      <c r="A30">
        <v>46</v>
      </c>
      <c r="B30" s="164" t="s">
        <v>310</v>
      </c>
      <c r="C30" s="155">
        <v>23</v>
      </c>
      <c r="D30" s="744" t="s">
        <v>271</v>
      </c>
      <c r="E30" s="744">
        <v>27.1</v>
      </c>
      <c r="F30" s="744">
        <v>12.6</v>
      </c>
      <c r="G30" s="762">
        <v>12.8</v>
      </c>
      <c r="H30" s="671">
        <v>0.8</v>
      </c>
      <c r="I30" s="671">
        <v>0.7</v>
      </c>
      <c r="J30" s="762">
        <v>0.56000000000000005</v>
      </c>
      <c r="K30" s="1071">
        <v>0.21</v>
      </c>
      <c r="L30" s="60"/>
      <c r="M30" s="698" t="s">
        <v>933</v>
      </c>
      <c r="N30" s="698" t="s">
        <v>934</v>
      </c>
      <c r="O30" s="698" t="s">
        <v>935</v>
      </c>
      <c r="P30" s="698" t="s">
        <v>936</v>
      </c>
    </row>
    <row r="31" spans="1:29" ht="16.5" customHeight="1" x14ac:dyDescent="0.25">
      <c r="A31">
        <v>47</v>
      </c>
      <c r="B31" s="164" t="s">
        <v>311</v>
      </c>
      <c r="C31" s="155">
        <v>24</v>
      </c>
      <c r="D31" s="744" t="s">
        <v>271</v>
      </c>
      <c r="E31" s="744">
        <v>24</v>
      </c>
      <c r="F31" s="744">
        <v>11</v>
      </c>
      <c r="G31" s="762">
        <v>11.6</v>
      </c>
      <c r="H31" s="671">
        <v>0.8</v>
      </c>
      <c r="I31" s="671">
        <v>0.7</v>
      </c>
      <c r="J31" s="762">
        <v>0.56000000000000005</v>
      </c>
      <c r="K31" s="1071">
        <v>0.21</v>
      </c>
      <c r="L31" s="60"/>
      <c r="M31" s="698" t="s">
        <v>937</v>
      </c>
      <c r="N31" s="698" t="s">
        <v>938</v>
      </c>
      <c r="O31" s="698" t="s">
        <v>939</v>
      </c>
      <c r="P31" s="698" t="s">
        <v>940</v>
      </c>
    </row>
    <row r="32" spans="1:29" ht="15.75" x14ac:dyDescent="0.25">
      <c r="A32">
        <v>48</v>
      </c>
      <c r="B32" s="164" t="s">
        <v>312</v>
      </c>
      <c r="C32" s="155">
        <v>25</v>
      </c>
      <c r="D32" s="744" t="s">
        <v>271</v>
      </c>
      <c r="E32" s="744">
        <v>23</v>
      </c>
      <c r="F32" s="744">
        <v>10.3</v>
      </c>
      <c r="G32" s="762">
        <v>11.6</v>
      </c>
      <c r="H32" s="671">
        <v>0.8</v>
      </c>
      <c r="I32" s="671">
        <v>0.7</v>
      </c>
      <c r="J32" s="762">
        <v>0.56000000000000005</v>
      </c>
      <c r="K32" s="1071">
        <v>0.21</v>
      </c>
      <c r="L32" s="60"/>
      <c r="M32" s="60"/>
    </row>
    <row r="33" spans="1:13" ht="15.75" x14ac:dyDescent="0.25">
      <c r="A33">
        <v>49</v>
      </c>
      <c r="B33" s="164" t="s">
        <v>313</v>
      </c>
      <c r="C33" s="155">
        <v>26</v>
      </c>
      <c r="D33" s="744" t="s">
        <v>271</v>
      </c>
      <c r="E33" s="744">
        <v>27.3</v>
      </c>
      <c r="F33" s="744">
        <v>12.6</v>
      </c>
      <c r="G33" s="762">
        <v>12.8</v>
      </c>
      <c r="H33" s="671">
        <v>0.8</v>
      </c>
      <c r="I33" s="671">
        <v>0.7</v>
      </c>
      <c r="J33" s="762">
        <v>0.56000000000000005</v>
      </c>
      <c r="K33" s="1071">
        <v>0.21</v>
      </c>
      <c r="L33" s="60"/>
      <c r="M33" s="60"/>
    </row>
    <row r="34" spans="1:13" ht="15.75" x14ac:dyDescent="0.25">
      <c r="A34">
        <v>50</v>
      </c>
      <c r="B34" s="164" t="s">
        <v>315</v>
      </c>
      <c r="C34" s="155">
        <v>27</v>
      </c>
      <c r="D34" s="744" t="s">
        <v>271</v>
      </c>
      <c r="E34" s="744">
        <v>24.1</v>
      </c>
      <c r="F34" s="744">
        <v>11.2</v>
      </c>
      <c r="G34" s="762">
        <v>11.6</v>
      </c>
      <c r="H34" s="671">
        <v>0.8</v>
      </c>
      <c r="I34" s="671">
        <v>0.7</v>
      </c>
      <c r="J34" s="762">
        <v>0.56000000000000005</v>
      </c>
      <c r="K34" s="1071">
        <v>0.21</v>
      </c>
      <c r="L34" s="60"/>
    </row>
    <row r="35" spans="1:13" ht="15.75" x14ac:dyDescent="0.25">
      <c r="A35">
        <v>51</v>
      </c>
      <c r="B35" s="164" t="s">
        <v>314</v>
      </c>
      <c r="C35" s="155">
        <v>28</v>
      </c>
      <c r="D35" s="744" t="s">
        <v>271</v>
      </c>
      <c r="E35" s="744">
        <v>23.1</v>
      </c>
      <c r="F35" s="744">
        <v>10.3</v>
      </c>
      <c r="G35" s="762">
        <v>11.6</v>
      </c>
      <c r="H35" s="671">
        <v>0.8</v>
      </c>
      <c r="I35" s="671">
        <v>0.7</v>
      </c>
      <c r="J35" s="762">
        <v>0.56000000000000005</v>
      </c>
      <c r="K35" s="1071">
        <v>0.21</v>
      </c>
      <c r="L35" s="60"/>
    </row>
    <row r="36" spans="1:13" ht="15.75" x14ac:dyDescent="0.25">
      <c r="A36">
        <v>52</v>
      </c>
      <c r="B36" s="164" t="s">
        <v>316</v>
      </c>
      <c r="C36" s="155">
        <v>29</v>
      </c>
      <c r="D36" s="744" t="s">
        <v>271</v>
      </c>
      <c r="E36" s="744">
        <v>27.5</v>
      </c>
      <c r="F36" s="744">
        <v>12.8</v>
      </c>
      <c r="G36" s="762">
        <v>13.1</v>
      </c>
      <c r="H36" s="671">
        <v>0.8</v>
      </c>
      <c r="I36" s="671">
        <v>0.7</v>
      </c>
      <c r="J36" s="762">
        <v>0.56000000000000005</v>
      </c>
      <c r="K36" s="1071">
        <v>0.21</v>
      </c>
      <c r="L36" s="60"/>
    </row>
    <row r="37" spans="1:13" ht="15.75" x14ac:dyDescent="0.25">
      <c r="A37">
        <v>53</v>
      </c>
      <c r="B37" s="164" t="s">
        <v>317</v>
      </c>
      <c r="C37" s="155">
        <v>30</v>
      </c>
      <c r="D37" s="744" t="s">
        <v>271</v>
      </c>
      <c r="E37" s="744">
        <v>24.2</v>
      </c>
      <c r="F37" s="744">
        <v>11.2</v>
      </c>
      <c r="G37" s="762">
        <v>11.8</v>
      </c>
      <c r="H37" s="671">
        <v>0.8</v>
      </c>
      <c r="I37" s="671">
        <v>0.7</v>
      </c>
      <c r="J37" s="762">
        <v>0.56000000000000005</v>
      </c>
      <c r="K37" s="1071">
        <v>0.21</v>
      </c>
      <c r="L37" s="60"/>
    </row>
    <row r="38" spans="1:13" ht="15.75" x14ac:dyDescent="0.25">
      <c r="A38">
        <v>54</v>
      </c>
      <c r="B38" s="164" t="s">
        <v>318</v>
      </c>
      <c r="C38" s="155">
        <v>31</v>
      </c>
      <c r="D38" s="744" t="s">
        <v>271</v>
      </c>
      <c r="E38" s="744">
        <v>23.2</v>
      </c>
      <c r="F38" s="744">
        <v>10.3</v>
      </c>
      <c r="G38" s="762">
        <v>11.8</v>
      </c>
      <c r="H38" s="671">
        <v>0.8</v>
      </c>
      <c r="I38" s="671">
        <v>0.7</v>
      </c>
      <c r="J38" s="762">
        <v>0.56000000000000005</v>
      </c>
      <c r="K38" s="1071">
        <v>0.21</v>
      </c>
      <c r="L38" s="60"/>
    </row>
    <row r="39" spans="1:13" ht="15.75" x14ac:dyDescent="0.25">
      <c r="A39">
        <v>55</v>
      </c>
      <c r="B39" s="164" t="s">
        <v>319</v>
      </c>
      <c r="C39" s="155">
        <v>32</v>
      </c>
      <c r="D39" s="744" t="s">
        <v>271</v>
      </c>
      <c r="E39" s="744">
        <v>39.200000000000003</v>
      </c>
      <c r="F39" s="744">
        <v>17.2</v>
      </c>
      <c r="G39" s="762">
        <v>19.899999999999999</v>
      </c>
      <c r="H39" s="671">
        <v>0.8</v>
      </c>
      <c r="I39" s="671">
        <v>0.7</v>
      </c>
      <c r="J39" s="762">
        <v>0.56000000000000005</v>
      </c>
      <c r="K39" s="1071">
        <v>0.21</v>
      </c>
      <c r="L39" s="60"/>
    </row>
    <row r="40" spans="1:13" ht="15.75" x14ac:dyDescent="0.25">
      <c r="A40">
        <v>56</v>
      </c>
      <c r="B40" s="164" t="s">
        <v>320</v>
      </c>
      <c r="C40" s="155">
        <v>33</v>
      </c>
      <c r="D40" s="744" t="s">
        <v>271</v>
      </c>
      <c r="E40" s="744">
        <v>35.1</v>
      </c>
      <c r="F40" s="744">
        <v>15.3</v>
      </c>
      <c r="G40" s="762">
        <v>18.3</v>
      </c>
      <c r="H40" s="671">
        <v>0.8</v>
      </c>
      <c r="I40" s="671">
        <v>0.7</v>
      </c>
      <c r="J40" s="762">
        <v>0.56000000000000005</v>
      </c>
      <c r="K40" s="1071">
        <v>0.21</v>
      </c>
      <c r="L40" s="60"/>
    </row>
    <row r="41" spans="1:13" ht="16.5" customHeight="1" x14ac:dyDescent="0.25">
      <c r="A41">
        <v>57</v>
      </c>
      <c r="B41" s="164" t="s">
        <v>321</v>
      </c>
      <c r="C41" s="155">
        <v>34</v>
      </c>
      <c r="D41" s="744" t="s">
        <v>271</v>
      </c>
      <c r="E41" s="744">
        <v>33.5</v>
      </c>
      <c r="F41" s="744">
        <v>14</v>
      </c>
      <c r="G41" s="762">
        <v>18.3</v>
      </c>
      <c r="H41" s="671">
        <v>0.8</v>
      </c>
      <c r="I41" s="671">
        <v>0.7</v>
      </c>
      <c r="J41" s="762">
        <v>0.56000000000000005</v>
      </c>
      <c r="K41" s="1071">
        <v>0.21</v>
      </c>
      <c r="L41" s="60"/>
      <c r="M41" s="60"/>
    </row>
    <row r="42" spans="1:13" ht="15.75" x14ac:dyDescent="0.25">
      <c r="A42">
        <v>58</v>
      </c>
      <c r="B42" s="164" t="s">
        <v>322</v>
      </c>
      <c r="C42" s="155">
        <v>35</v>
      </c>
      <c r="D42" s="744" t="s">
        <v>271</v>
      </c>
      <c r="E42" s="744">
        <v>41.1</v>
      </c>
      <c r="F42" s="744">
        <v>17.899999999999999</v>
      </c>
      <c r="G42" s="762">
        <v>21.1</v>
      </c>
      <c r="H42" s="671">
        <v>0.8</v>
      </c>
      <c r="I42" s="671">
        <v>0.7</v>
      </c>
      <c r="J42" s="762">
        <v>0.56000000000000005</v>
      </c>
      <c r="K42" s="1071">
        <v>0.21</v>
      </c>
      <c r="L42" s="60"/>
      <c r="M42" s="60"/>
    </row>
    <row r="43" spans="1:13" ht="15.75" x14ac:dyDescent="0.25">
      <c r="A43">
        <v>59</v>
      </c>
      <c r="B43" s="164" t="s">
        <v>323</v>
      </c>
      <c r="C43" s="155">
        <v>36</v>
      </c>
      <c r="D43" s="744" t="s">
        <v>271</v>
      </c>
      <c r="E43" s="744">
        <v>36.799999999999997</v>
      </c>
      <c r="F43" s="744">
        <v>16</v>
      </c>
      <c r="G43" s="762">
        <v>19.5</v>
      </c>
      <c r="H43" s="671">
        <v>0.8</v>
      </c>
      <c r="I43" s="671">
        <v>0.7</v>
      </c>
      <c r="J43" s="762">
        <v>0.56000000000000005</v>
      </c>
      <c r="K43" s="1071">
        <v>0.21</v>
      </c>
      <c r="L43" s="60"/>
      <c r="M43" s="60"/>
    </row>
    <row r="44" spans="1:13" ht="15.75" x14ac:dyDescent="0.25">
      <c r="A44">
        <v>60</v>
      </c>
      <c r="B44" s="164" t="s">
        <v>324</v>
      </c>
      <c r="C44" s="155">
        <v>37</v>
      </c>
      <c r="D44" s="744" t="s">
        <v>271</v>
      </c>
      <c r="E44" s="744">
        <v>35</v>
      </c>
      <c r="F44" s="744">
        <v>14.7</v>
      </c>
      <c r="G44" s="762">
        <v>19.5</v>
      </c>
      <c r="H44" s="671">
        <v>0.8</v>
      </c>
      <c r="I44" s="671">
        <v>0.7</v>
      </c>
      <c r="J44" s="762">
        <v>0.56000000000000005</v>
      </c>
      <c r="K44" s="1071">
        <v>0.21</v>
      </c>
      <c r="L44" s="60"/>
      <c r="M44" s="60"/>
    </row>
    <row r="45" spans="1:13" ht="15.75" x14ac:dyDescent="0.25">
      <c r="A45">
        <v>61</v>
      </c>
      <c r="B45" s="164" t="s">
        <v>325</v>
      </c>
      <c r="C45" s="155">
        <v>38</v>
      </c>
      <c r="D45" s="744" t="s">
        <v>271</v>
      </c>
      <c r="E45" s="744">
        <v>42.9</v>
      </c>
      <c r="F45" s="744">
        <v>18.600000000000001</v>
      </c>
      <c r="G45" s="762">
        <v>21.3</v>
      </c>
      <c r="H45" s="671">
        <v>0.8</v>
      </c>
      <c r="I45" s="671">
        <v>0.7</v>
      </c>
      <c r="J45" s="762">
        <v>0.56000000000000005</v>
      </c>
      <c r="K45" s="1071">
        <v>0.21</v>
      </c>
      <c r="L45" s="60"/>
      <c r="M45" s="60"/>
    </row>
    <row r="46" spans="1:13" ht="15.75" x14ac:dyDescent="0.25">
      <c r="A46">
        <v>62</v>
      </c>
      <c r="B46" s="164" t="s">
        <v>326</v>
      </c>
      <c r="C46" s="155">
        <v>39</v>
      </c>
      <c r="D46" s="744" t="s">
        <v>271</v>
      </c>
      <c r="E46" s="744">
        <v>38.4</v>
      </c>
      <c r="F46" s="744">
        <v>16.7</v>
      </c>
      <c r="G46" s="762">
        <v>20.7</v>
      </c>
      <c r="H46" s="671">
        <v>0.8</v>
      </c>
      <c r="I46" s="671">
        <v>0.7</v>
      </c>
      <c r="J46" s="762">
        <v>0.56000000000000005</v>
      </c>
      <c r="K46" s="1071">
        <v>0.21</v>
      </c>
      <c r="L46" s="60"/>
      <c r="M46" s="60"/>
    </row>
    <row r="47" spans="1:13" ht="15.75" x14ac:dyDescent="0.25">
      <c r="A47">
        <v>63</v>
      </c>
      <c r="B47" s="164" t="s">
        <v>327</v>
      </c>
      <c r="C47" s="155">
        <v>40</v>
      </c>
      <c r="D47" s="744" t="s">
        <v>271</v>
      </c>
      <c r="E47" s="744">
        <v>36.6</v>
      </c>
      <c r="F47" s="744">
        <v>15.1</v>
      </c>
      <c r="G47" s="762">
        <v>20.7</v>
      </c>
      <c r="H47" s="671">
        <v>0.8</v>
      </c>
      <c r="I47" s="671">
        <v>0.7</v>
      </c>
      <c r="J47" s="762">
        <v>0.56000000000000005</v>
      </c>
      <c r="K47" s="1071">
        <v>0.21</v>
      </c>
      <c r="L47" s="60"/>
      <c r="M47" s="60"/>
    </row>
    <row r="48" spans="1:13" ht="15.75" x14ac:dyDescent="0.25">
      <c r="A48">
        <v>65</v>
      </c>
      <c r="B48" s="164" t="s">
        <v>941</v>
      </c>
      <c r="C48" s="155">
        <v>41</v>
      </c>
      <c r="D48" s="744" t="s">
        <v>271</v>
      </c>
      <c r="E48" s="744">
        <v>3.8</v>
      </c>
      <c r="F48" s="744">
        <v>1.4</v>
      </c>
      <c r="G48" s="762">
        <v>2.2999999999999998</v>
      </c>
      <c r="H48" s="671">
        <v>0.8</v>
      </c>
      <c r="I48" s="671">
        <v>0.7</v>
      </c>
      <c r="J48" s="762">
        <v>0.56000000000000005</v>
      </c>
      <c r="K48" s="1071">
        <v>0.21</v>
      </c>
      <c r="L48" s="60"/>
      <c r="M48" s="60"/>
    </row>
    <row r="49" spans="1:20" ht="15.75" customHeight="1" x14ac:dyDescent="0.25">
      <c r="A49">
        <v>66</v>
      </c>
      <c r="B49" s="164" t="s">
        <v>942</v>
      </c>
      <c r="C49" s="155">
        <v>42</v>
      </c>
      <c r="D49" s="744" t="s">
        <v>271</v>
      </c>
      <c r="E49" s="744">
        <v>3.6</v>
      </c>
      <c r="F49" s="744">
        <v>1.4</v>
      </c>
      <c r="G49" s="762">
        <v>2.2000000000000002</v>
      </c>
      <c r="H49" s="671">
        <v>0.8</v>
      </c>
      <c r="I49" s="671">
        <v>0.7</v>
      </c>
      <c r="J49" s="762">
        <v>0.56000000000000005</v>
      </c>
      <c r="K49" s="1071">
        <v>0.21</v>
      </c>
      <c r="L49" s="60"/>
      <c r="M49" s="60"/>
    </row>
    <row r="50" spans="1:20" ht="15.75" customHeight="1" x14ac:dyDescent="0.25">
      <c r="A50">
        <v>67</v>
      </c>
      <c r="B50" s="164" t="s">
        <v>943</v>
      </c>
      <c r="C50" s="155">
        <v>43</v>
      </c>
      <c r="D50" s="744" t="s">
        <v>271</v>
      </c>
      <c r="E50" s="744">
        <v>3.4</v>
      </c>
      <c r="F50" s="744">
        <v>1.1000000000000001</v>
      </c>
      <c r="G50" s="762">
        <v>2.2000000000000002</v>
      </c>
      <c r="H50" s="671">
        <v>0.8</v>
      </c>
      <c r="I50" s="671">
        <v>0.7</v>
      </c>
      <c r="J50" s="762">
        <v>0.56000000000000005</v>
      </c>
      <c r="K50" s="1071">
        <v>0.21</v>
      </c>
      <c r="L50" s="60"/>
      <c r="M50" s="60"/>
    </row>
    <row r="51" spans="1:20" ht="15.75" x14ac:dyDescent="0.25">
      <c r="A51">
        <v>68</v>
      </c>
      <c r="B51" s="164" t="s">
        <v>944</v>
      </c>
      <c r="C51" s="155">
        <v>44</v>
      </c>
      <c r="D51" s="744" t="s">
        <v>271</v>
      </c>
      <c r="E51" s="744">
        <v>4.2</v>
      </c>
      <c r="F51" s="744">
        <v>1.6</v>
      </c>
      <c r="G51" s="762">
        <v>2.5</v>
      </c>
      <c r="H51" s="671">
        <v>0.8</v>
      </c>
      <c r="I51" s="671">
        <v>0.7</v>
      </c>
      <c r="J51" s="762">
        <v>0.56000000000000005</v>
      </c>
      <c r="K51" s="1071">
        <v>0.21</v>
      </c>
      <c r="L51" s="60"/>
      <c r="M51" s="60"/>
    </row>
    <row r="52" spans="1:20" ht="16.5" customHeight="1" x14ac:dyDescent="0.25">
      <c r="A52">
        <v>69</v>
      </c>
      <c r="B52" s="164" t="s">
        <v>945</v>
      </c>
      <c r="C52" s="155">
        <v>45</v>
      </c>
      <c r="D52" s="744" t="s">
        <v>271</v>
      </c>
      <c r="E52" s="744">
        <v>3.8</v>
      </c>
      <c r="F52" s="744">
        <v>1.4</v>
      </c>
      <c r="G52" s="762">
        <v>2.4</v>
      </c>
      <c r="H52" s="671">
        <v>0.8</v>
      </c>
      <c r="I52" s="671">
        <v>0.7</v>
      </c>
      <c r="J52" s="762">
        <v>0.56000000000000005</v>
      </c>
      <c r="K52" s="1071">
        <v>0.21</v>
      </c>
      <c r="L52" s="800"/>
      <c r="M52" s="800"/>
      <c r="N52" s="800"/>
    </row>
    <row r="53" spans="1:20" ht="15" customHeight="1" x14ac:dyDescent="0.25">
      <c r="A53">
        <v>70</v>
      </c>
      <c r="B53" s="164" t="s">
        <v>946</v>
      </c>
      <c r="C53" s="155">
        <v>46</v>
      </c>
      <c r="D53" s="744" t="s">
        <v>271</v>
      </c>
      <c r="E53" s="744">
        <v>3.6</v>
      </c>
      <c r="F53" s="744">
        <v>1.4</v>
      </c>
      <c r="G53" s="762">
        <v>2.4</v>
      </c>
      <c r="H53" s="671">
        <v>0.8</v>
      </c>
      <c r="I53" s="671">
        <v>0.7</v>
      </c>
      <c r="J53" s="762">
        <v>0.56000000000000005</v>
      </c>
      <c r="K53" s="1071">
        <v>0.21</v>
      </c>
      <c r="L53" s="800"/>
      <c r="M53" s="800"/>
      <c r="N53" s="800"/>
    </row>
    <row r="54" spans="1:20" ht="15.75" x14ac:dyDescent="0.25">
      <c r="A54">
        <v>71</v>
      </c>
      <c r="B54" s="164" t="s">
        <v>947</v>
      </c>
      <c r="C54" s="155">
        <v>47</v>
      </c>
      <c r="D54" s="744" t="s">
        <v>271</v>
      </c>
      <c r="E54" s="744">
        <v>10.8</v>
      </c>
      <c r="F54" s="744">
        <v>5.5</v>
      </c>
      <c r="G54" s="762">
        <v>4.9000000000000004</v>
      </c>
      <c r="H54" s="671">
        <v>0.8</v>
      </c>
      <c r="I54" s="671">
        <v>0.7</v>
      </c>
      <c r="J54" s="762">
        <v>0.56000000000000005</v>
      </c>
      <c r="K54" s="1071">
        <v>0.21</v>
      </c>
      <c r="L54" s="800"/>
      <c r="M54" s="800"/>
      <c r="N54" s="800"/>
    </row>
    <row r="55" spans="1:20" ht="16.5" customHeight="1" x14ac:dyDescent="0.25">
      <c r="A55">
        <v>72</v>
      </c>
      <c r="B55" s="164" t="s">
        <v>948</v>
      </c>
      <c r="C55" s="155">
        <v>48</v>
      </c>
      <c r="D55" s="744" t="s">
        <v>271</v>
      </c>
      <c r="E55" s="163">
        <v>9</v>
      </c>
      <c r="F55" s="744">
        <v>4.5999999999999996</v>
      </c>
      <c r="G55" s="762">
        <v>4.4000000000000004</v>
      </c>
      <c r="H55" s="671">
        <v>0.8</v>
      </c>
      <c r="I55" s="671">
        <v>0.7</v>
      </c>
      <c r="J55" s="762">
        <v>0.56000000000000005</v>
      </c>
      <c r="K55" s="1071">
        <v>0.21</v>
      </c>
      <c r="L55" s="801"/>
      <c r="M55" s="801"/>
      <c r="N55" s="801"/>
      <c r="O55" s="1335"/>
      <c r="P55" s="1335"/>
      <c r="Q55" s="1335"/>
      <c r="R55" s="1335"/>
      <c r="S55" s="1335"/>
      <c r="T55" s="1335"/>
    </row>
    <row r="56" spans="1:20" ht="16.5" customHeight="1" x14ac:dyDescent="0.25">
      <c r="A56">
        <v>73</v>
      </c>
      <c r="B56" s="164" t="s">
        <v>949</v>
      </c>
      <c r="C56" s="155">
        <v>49</v>
      </c>
      <c r="D56" s="744" t="s">
        <v>271</v>
      </c>
      <c r="E56" s="744">
        <v>15.4</v>
      </c>
      <c r="F56" s="744">
        <v>8.5</v>
      </c>
      <c r="G56" s="762">
        <v>7.5</v>
      </c>
      <c r="H56" s="671">
        <v>0.8</v>
      </c>
      <c r="I56" s="671">
        <v>0.7</v>
      </c>
      <c r="J56" s="762">
        <v>0.56000000000000005</v>
      </c>
      <c r="K56" s="1071">
        <v>0.21</v>
      </c>
      <c r="L56" s="800"/>
      <c r="M56" s="800"/>
      <c r="N56" s="800"/>
    </row>
    <row r="57" spans="1:20" ht="15.75" x14ac:dyDescent="0.25">
      <c r="A57">
        <v>75</v>
      </c>
      <c r="B57" s="164" t="s">
        <v>950</v>
      </c>
      <c r="C57" s="155">
        <v>50</v>
      </c>
      <c r="D57" s="744" t="s">
        <v>271</v>
      </c>
      <c r="E57" s="744">
        <v>13.3</v>
      </c>
      <c r="F57" s="744">
        <v>7.5</v>
      </c>
      <c r="G57" s="762">
        <v>6.4</v>
      </c>
      <c r="H57" s="671">
        <v>0.8</v>
      </c>
      <c r="I57" s="671">
        <v>0.7</v>
      </c>
      <c r="J57" s="762">
        <v>0.56000000000000005</v>
      </c>
      <c r="K57" s="1071">
        <v>0.21</v>
      </c>
      <c r="L57" s="800"/>
      <c r="M57" s="800"/>
      <c r="N57" s="800"/>
    </row>
    <row r="58" spans="1:20" ht="15.75" x14ac:dyDescent="0.25">
      <c r="A58">
        <v>77</v>
      </c>
      <c r="B58" s="164" t="s">
        <v>951</v>
      </c>
      <c r="C58" s="155">
        <v>51</v>
      </c>
      <c r="D58" s="744" t="s">
        <v>271</v>
      </c>
      <c r="E58" s="744">
        <v>11.1</v>
      </c>
      <c r="F58" s="744">
        <v>4.8</v>
      </c>
      <c r="G58" s="762">
        <v>5.5</v>
      </c>
      <c r="H58" s="671">
        <v>0.8</v>
      </c>
      <c r="I58" s="671">
        <v>0.7</v>
      </c>
      <c r="J58" s="762">
        <v>0.56000000000000005</v>
      </c>
      <c r="K58" s="1071">
        <v>0.21</v>
      </c>
      <c r="L58" s="801"/>
      <c r="M58" s="801"/>
      <c r="N58" s="801"/>
      <c r="O58" s="1335"/>
      <c r="P58" s="1335"/>
      <c r="Q58" s="1335"/>
      <c r="R58" s="1335"/>
      <c r="S58" s="1335"/>
      <c r="T58" s="1335"/>
    </row>
    <row r="59" spans="1:20" ht="15.75" x14ac:dyDescent="0.25">
      <c r="A59">
        <v>78</v>
      </c>
      <c r="B59" s="164" t="s">
        <v>952</v>
      </c>
      <c r="C59" s="155">
        <v>52</v>
      </c>
      <c r="D59" s="744" t="s">
        <v>271</v>
      </c>
      <c r="E59" s="744">
        <v>10.7</v>
      </c>
      <c r="F59" s="744">
        <v>4.0999999999999996</v>
      </c>
      <c r="G59" s="762">
        <v>5.3</v>
      </c>
      <c r="H59" s="671">
        <v>0.8</v>
      </c>
      <c r="I59" s="671">
        <v>0.7</v>
      </c>
      <c r="J59" s="762">
        <v>0.56000000000000005</v>
      </c>
      <c r="K59" s="1071">
        <v>0.21</v>
      </c>
      <c r="L59" s="800"/>
      <c r="M59" s="800"/>
      <c r="N59" s="800"/>
    </row>
    <row r="60" spans="1:20" ht="15.75" x14ac:dyDescent="0.25">
      <c r="A60">
        <v>79</v>
      </c>
      <c r="B60" s="164" t="s">
        <v>953</v>
      </c>
      <c r="C60" s="155">
        <v>53</v>
      </c>
      <c r="D60" s="744" t="s">
        <v>271</v>
      </c>
      <c r="E60" s="744">
        <v>9.6</v>
      </c>
      <c r="F60" s="744">
        <v>3.7</v>
      </c>
      <c r="G60" s="762">
        <v>5.2</v>
      </c>
      <c r="H60" s="671">
        <v>0.8</v>
      </c>
      <c r="I60" s="671">
        <v>0.7</v>
      </c>
      <c r="J60" s="762">
        <v>0.56000000000000005</v>
      </c>
      <c r="K60" s="1071">
        <v>0.21</v>
      </c>
      <c r="L60" s="800"/>
      <c r="M60" s="800"/>
      <c r="N60" s="800"/>
    </row>
    <row r="61" spans="1:20" ht="15.75" x14ac:dyDescent="0.25">
      <c r="A61">
        <v>90</v>
      </c>
      <c r="B61" s="164" t="s">
        <v>954</v>
      </c>
      <c r="C61" s="155">
        <v>54</v>
      </c>
      <c r="D61" s="744" t="s">
        <v>271</v>
      </c>
      <c r="E61" s="744">
        <v>11.8</v>
      </c>
      <c r="F61" s="744">
        <v>4.8</v>
      </c>
      <c r="G61" s="762">
        <v>6.6</v>
      </c>
      <c r="H61" s="671">
        <v>0.8</v>
      </c>
      <c r="I61" s="671">
        <v>0.7</v>
      </c>
      <c r="J61" s="762">
        <v>0.56000000000000005</v>
      </c>
      <c r="K61" s="1071">
        <v>0.21</v>
      </c>
      <c r="L61" s="60"/>
      <c r="M61" s="60"/>
    </row>
    <row r="62" spans="1:20" ht="15.75" x14ac:dyDescent="0.25">
      <c r="A62">
        <v>91</v>
      </c>
      <c r="B62" s="164" t="s">
        <v>955</v>
      </c>
      <c r="C62" s="155">
        <v>55</v>
      </c>
      <c r="D62" s="744" t="s">
        <v>271</v>
      </c>
      <c r="E62" s="744">
        <v>11.3</v>
      </c>
      <c r="F62" s="744">
        <v>4.4000000000000004</v>
      </c>
      <c r="G62" s="762">
        <v>6.4</v>
      </c>
      <c r="H62" s="671">
        <v>0.8</v>
      </c>
      <c r="I62" s="671">
        <v>0.7</v>
      </c>
      <c r="J62" s="762">
        <v>0.56000000000000005</v>
      </c>
      <c r="K62" s="1071">
        <v>0.21</v>
      </c>
      <c r="L62" s="60"/>
      <c r="M62" s="60"/>
    </row>
    <row r="63" spans="1:20" ht="15.75" x14ac:dyDescent="0.25">
      <c r="A63">
        <v>92</v>
      </c>
      <c r="B63" s="164" t="s">
        <v>278</v>
      </c>
      <c r="C63" s="155">
        <v>56</v>
      </c>
      <c r="D63" s="744" t="s">
        <v>271</v>
      </c>
      <c r="E63" s="744">
        <v>22.1</v>
      </c>
      <c r="F63" s="744">
        <v>9.6</v>
      </c>
      <c r="G63" s="762">
        <v>8.8000000000000007</v>
      </c>
      <c r="H63" s="671">
        <v>0.8</v>
      </c>
      <c r="I63" s="671">
        <v>0.7</v>
      </c>
      <c r="J63" s="762">
        <v>0.56000000000000005</v>
      </c>
      <c r="K63" s="1071">
        <v>0.21</v>
      </c>
      <c r="L63" s="60"/>
      <c r="M63" s="60"/>
    </row>
    <row r="64" spans="1:20" ht="15.75" x14ac:dyDescent="0.25">
      <c r="A64">
        <v>116</v>
      </c>
      <c r="B64" s="164" t="s">
        <v>956</v>
      </c>
      <c r="C64" s="155">
        <v>57</v>
      </c>
      <c r="D64" s="744" t="s">
        <v>271</v>
      </c>
      <c r="E64" s="744">
        <v>0.26900000000000002</v>
      </c>
      <c r="F64" s="744">
        <v>0.17599999999999999</v>
      </c>
      <c r="G64" s="762">
        <v>0.125</v>
      </c>
      <c r="H64" s="671">
        <v>0</v>
      </c>
      <c r="I64" s="671">
        <v>0.6</v>
      </c>
      <c r="J64" s="762">
        <v>0.36</v>
      </c>
      <c r="K64" s="1071">
        <v>0.18</v>
      </c>
      <c r="L64" s="60"/>
      <c r="M64" s="60"/>
    </row>
    <row r="65" spans="1:13" ht="15.75" x14ac:dyDescent="0.25">
      <c r="A65">
        <v>117</v>
      </c>
      <c r="B65" s="164" t="s">
        <v>279</v>
      </c>
      <c r="C65" s="155">
        <v>58</v>
      </c>
      <c r="D65" s="744" t="s">
        <v>271</v>
      </c>
      <c r="E65" s="744">
        <v>0.252</v>
      </c>
      <c r="F65" s="744">
        <v>0.151</v>
      </c>
      <c r="G65" s="762">
        <v>0.125</v>
      </c>
      <c r="H65" s="671">
        <v>0</v>
      </c>
      <c r="I65" s="671">
        <v>0.6</v>
      </c>
      <c r="J65" s="762">
        <v>0.36</v>
      </c>
      <c r="K65" s="1071">
        <v>0.18</v>
      </c>
      <c r="L65" s="60"/>
      <c r="M65" s="60"/>
    </row>
    <row r="66" spans="1:13" ht="18.75" customHeight="1" x14ac:dyDescent="0.25">
      <c r="A66">
        <v>118</v>
      </c>
      <c r="B66" s="164" t="s">
        <v>957</v>
      </c>
      <c r="C66" s="155">
        <v>59</v>
      </c>
      <c r="D66" s="744" t="s">
        <v>271</v>
      </c>
      <c r="E66" s="744">
        <v>0.76400000000000001</v>
      </c>
      <c r="F66" s="744">
        <v>0.39600000000000002</v>
      </c>
      <c r="G66" s="762">
        <v>0.34499999999999997</v>
      </c>
      <c r="H66" s="671">
        <v>0</v>
      </c>
      <c r="I66" s="671">
        <v>0.6</v>
      </c>
      <c r="J66" s="762">
        <v>0.36</v>
      </c>
      <c r="K66" s="1071">
        <v>0.18</v>
      </c>
      <c r="L66" s="60"/>
      <c r="M66" s="60"/>
    </row>
    <row r="67" spans="1:13" ht="15.75" x14ac:dyDescent="0.25">
      <c r="A67">
        <v>119</v>
      </c>
      <c r="B67" s="164" t="s">
        <v>958</v>
      </c>
      <c r="C67" s="155">
        <v>60</v>
      </c>
      <c r="D67" s="744" t="s">
        <v>271</v>
      </c>
      <c r="E67" s="744">
        <v>0.73099999999999998</v>
      </c>
      <c r="F67" s="744">
        <v>0.34599999999999997</v>
      </c>
      <c r="G67" s="762">
        <v>0.34499999999999997</v>
      </c>
      <c r="H67" s="671">
        <v>0</v>
      </c>
      <c r="I67" s="671">
        <v>0.6</v>
      </c>
      <c r="J67" s="762">
        <v>0.36</v>
      </c>
      <c r="K67" s="1071">
        <v>0.18</v>
      </c>
      <c r="L67" s="60"/>
      <c r="M67" s="60"/>
    </row>
    <row r="68" spans="1:13" ht="15.75" x14ac:dyDescent="0.25">
      <c r="A68">
        <v>121</v>
      </c>
      <c r="B68" s="164" t="s">
        <v>959</v>
      </c>
      <c r="C68" s="155">
        <v>61</v>
      </c>
      <c r="D68" s="744" t="s">
        <v>271</v>
      </c>
      <c r="E68" s="744">
        <v>0.41299999999999998</v>
      </c>
      <c r="F68" s="744">
        <v>0.20799999999999999</v>
      </c>
      <c r="G68" s="762">
        <v>0.22800000000000001</v>
      </c>
      <c r="H68" s="671">
        <v>0</v>
      </c>
      <c r="I68" s="671">
        <v>0.6</v>
      </c>
      <c r="J68" s="762">
        <v>0.36</v>
      </c>
      <c r="K68" s="1071">
        <v>0.18</v>
      </c>
      <c r="L68" s="60"/>
      <c r="M68" s="60"/>
    </row>
    <row r="69" spans="1:13" ht="18" customHeight="1" x14ac:dyDescent="0.25">
      <c r="A69">
        <v>122</v>
      </c>
      <c r="B69" s="164" t="s">
        <v>280</v>
      </c>
      <c r="C69" s="155">
        <v>62</v>
      </c>
      <c r="D69" s="744" t="s">
        <v>271</v>
      </c>
      <c r="E69" s="744">
        <v>0.38500000000000001</v>
      </c>
      <c r="F69" s="744">
        <v>0.17599999999999999</v>
      </c>
      <c r="G69" s="762">
        <v>0.22800000000000001</v>
      </c>
      <c r="H69" s="671">
        <v>0</v>
      </c>
      <c r="I69" s="671">
        <v>0.6</v>
      </c>
      <c r="J69" s="762">
        <v>0.36</v>
      </c>
      <c r="K69" s="1071">
        <v>0.18</v>
      </c>
      <c r="L69" s="60"/>
      <c r="M69" s="60"/>
    </row>
    <row r="70" spans="1:13" ht="15.75" x14ac:dyDescent="0.25">
      <c r="A70">
        <v>123</v>
      </c>
      <c r="B70" s="164" t="s">
        <v>960</v>
      </c>
      <c r="C70" s="155">
        <v>63</v>
      </c>
      <c r="D70" s="744" t="s">
        <v>271</v>
      </c>
      <c r="E70" s="744">
        <v>0.38800000000000001</v>
      </c>
      <c r="F70" s="744">
        <v>0.19</v>
      </c>
      <c r="G70" s="762">
        <v>0.219</v>
      </c>
      <c r="H70" s="671">
        <v>0</v>
      </c>
      <c r="I70" s="671">
        <v>0.6</v>
      </c>
      <c r="J70" s="762">
        <v>0.36</v>
      </c>
      <c r="K70" s="1071">
        <v>0.18</v>
      </c>
      <c r="L70" s="60"/>
      <c r="M70" s="60"/>
    </row>
    <row r="71" spans="1:13" ht="16.5" customHeight="1" x14ac:dyDescent="0.25">
      <c r="A71">
        <v>124</v>
      </c>
      <c r="B71" s="164" t="s">
        <v>961</v>
      </c>
      <c r="C71" s="155">
        <v>64</v>
      </c>
      <c r="D71" s="744" t="s">
        <v>271</v>
      </c>
      <c r="E71" s="744">
        <v>0.35699999999999998</v>
      </c>
      <c r="F71" s="744">
        <v>0.17399999999999999</v>
      </c>
      <c r="G71" s="762">
        <v>0.219</v>
      </c>
      <c r="H71" s="671">
        <v>0</v>
      </c>
      <c r="I71" s="671">
        <v>0.6</v>
      </c>
      <c r="J71" s="762">
        <v>0.36</v>
      </c>
      <c r="K71" s="1071">
        <v>0.18</v>
      </c>
      <c r="L71" s="60"/>
      <c r="M71" s="60"/>
    </row>
    <row r="72" spans="1:13" ht="16.5" customHeight="1" x14ac:dyDescent="0.25">
      <c r="A72">
        <v>125</v>
      </c>
      <c r="B72" s="164" t="s">
        <v>962</v>
      </c>
      <c r="C72" s="155">
        <v>65</v>
      </c>
      <c r="D72" s="744" t="s">
        <v>271</v>
      </c>
      <c r="E72" s="744">
        <v>0.32800000000000001</v>
      </c>
      <c r="F72" s="744">
        <v>0.17399999999999999</v>
      </c>
      <c r="G72" s="762">
        <v>0.193</v>
      </c>
      <c r="H72" s="671">
        <v>0</v>
      </c>
      <c r="I72" s="671">
        <v>0.6</v>
      </c>
      <c r="J72" s="762">
        <v>0.36</v>
      </c>
      <c r="K72" s="1071">
        <v>0.18</v>
      </c>
      <c r="L72" s="60"/>
      <c r="M72" s="60"/>
    </row>
    <row r="73" spans="1:13" ht="18" customHeight="1" x14ac:dyDescent="0.25">
      <c r="A73">
        <v>126</v>
      </c>
      <c r="B73" s="164" t="s">
        <v>963</v>
      </c>
      <c r="C73" s="155">
        <v>66</v>
      </c>
      <c r="D73" s="744" t="s">
        <v>271</v>
      </c>
      <c r="E73" s="744">
        <v>0.311</v>
      </c>
      <c r="F73" s="744">
        <v>0.153</v>
      </c>
      <c r="G73" s="762">
        <v>0.193</v>
      </c>
      <c r="H73" s="671">
        <v>0</v>
      </c>
      <c r="I73" s="671">
        <v>0.6</v>
      </c>
      <c r="J73" s="762">
        <v>0.36</v>
      </c>
      <c r="K73" s="1071">
        <v>0.18</v>
      </c>
      <c r="L73" s="60"/>
      <c r="M73" s="60"/>
    </row>
    <row r="74" spans="1:13" ht="15.75" x14ac:dyDescent="0.25">
      <c r="A74">
        <v>127</v>
      </c>
      <c r="B74" s="164" t="s">
        <v>964</v>
      </c>
      <c r="C74" s="155">
        <v>67</v>
      </c>
      <c r="D74" s="744" t="s">
        <v>271</v>
      </c>
      <c r="E74" s="744">
        <v>0.26700000000000002</v>
      </c>
      <c r="F74" s="744">
        <v>0.14199999999999999</v>
      </c>
      <c r="G74" s="762">
        <v>0.161</v>
      </c>
      <c r="H74" s="671">
        <v>0</v>
      </c>
      <c r="I74" s="671">
        <v>0.6</v>
      </c>
      <c r="J74" s="762">
        <v>0.36</v>
      </c>
      <c r="K74" s="1071">
        <v>0.18</v>
      </c>
      <c r="L74" s="60"/>
      <c r="M74" s="60"/>
    </row>
    <row r="75" spans="1:13" ht="15.75" x14ac:dyDescent="0.25">
      <c r="A75">
        <v>128</v>
      </c>
      <c r="B75" s="164" t="s">
        <v>281</v>
      </c>
      <c r="C75" s="155">
        <v>68</v>
      </c>
      <c r="D75" s="744" t="s">
        <v>271</v>
      </c>
      <c r="E75" s="744">
        <v>0.249</v>
      </c>
      <c r="F75" s="744">
        <v>0.121</v>
      </c>
      <c r="G75" s="762">
        <v>0.161</v>
      </c>
      <c r="H75" s="671">
        <v>0</v>
      </c>
      <c r="I75" s="671">
        <v>0.6</v>
      </c>
      <c r="J75" s="762">
        <v>0.36</v>
      </c>
      <c r="K75" s="1071">
        <v>0.18</v>
      </c>
      <c r="L75" s="60"/>
      <c r="M75" s="60"/>
    </row>
    <row r="76" spans="1:13" ht="14.25" customHeight="1" x14ac:dyDescent="0.25">
      <c r="B76" s="164" t="s">
        <v>965</v>
      </c>
      <c r="C76" s="155">
        <v>69</v>
      </c>
      <c r="D76" s="744" t="s">
        <v>272</v>
      </c>
      <c r="E76" s="744">
        <v>0.97499999999999998</v>
      </c>
      <c r="F76" s="744">
        <v>0.55000000000000004</v>
      </c>
      <c r="G76" s="762">
        <v>0.44900000000000001</v>
      </c>
      <c r="H76" s="671">
        <v>0</v>
      </c>
      <c r="I76" s="671">
        <v>0.6</v>
      </c>
      <c r="J76" s="762">
        <v>0.36</v>
      </c>
      <c r="K76" s="1071">
        <v>0.18</v>
      </c>
      <c r="L76" s="60"/>
      <c r="M76" s="60"/>
    </row>
    <row r="77" spans="1:13" ht="15.75" x14ac:dyDescent="0.25">
      <c r="B77" s="164" t="s">
        <v>966</v>
      </c>
      <c r="C77" s="155">
        <v>70</v>
      </c>
      <c r="D77" s="744" t="s">
        <v>272</v>
      </c>
      <c r="E77" s="744">
        <v>0.90500000000000003</v>
      </c>
      <c r="F77" s="744">
        <v>0.42799999999999999</v>
      </c>
      <c r="G77" s="762">
        <v>0.42399999999999999</v>
      </c>
      <c r="H77" s="671">
        <v>0</v>
      </c>
      <c r="I77" s="671">
        <v>0.6</v>
      </c>
      <c r="J77" s="762">
        <v>0.36</v>
      </c>
      <c r="K77" s="1071">
        <v>0.18</v>
      </c>
      <c r="L77" s="60"/>
      <c r="M77" s="60"/>
    </row>
    <row r="78" spans="1:13" ht="15.75" x14ac:dyDescent="0.25">
      <c r="B78" s="164" t="s">
        <v>967</v>
      </c>
      <c r="C78" s="155">
        <v>71</v>
      </c>
      <c r="D78" s="744" t="s">
        <v>272</v>
      </c>
      <c r="E78" s="744">
        <v>0.52600000000000002</v>
      </c>
      <c r="F78" s="744">
        <v>0.28599999999999998</v>
      </c>
      <c r="G78" s="762">
        <v>0.23400000000000001</v>
      </c>
      <c r="H78" s="671">
        <v>0</v>
      </c>
      <c r="I78" s="671">
        <v>0.6</v>
      </c>
      <c r="J78" s="762">
        <v>0.36</v>
      </c>
      <c r="K78" s="1071">
        <v>0.18</v>
      </c>
      <c r="L78" s="60"/>
      <c r="M78" s="60"/>
    </row>
    <row r="79" spans="1:13" ht="15.75" x14ac:dyDescent="0.25">
      <c r="B79" s="164" t="s">
        <v>968</v>
      </c>
      <c r="C79" s="155">
        <v>72</v>
      </c>
      <c r="D79" s="744" t="s">
        <v>272</v>
      </c>
      <c r="E79" s="744">
        <v>0.497</v>
      </c>
      <c r="F79" s="744">
        <v>0.23100000000000001</v>
      </c>
      <c r="G79" s="762">
        <v>0.22500000000000001</v>
      </c>
      <c r="H79" s="671">
        <v>0</v>
      </c>
      <c r="I79" s="671">
        <v>0.6</v>
      </c>
      <c r="J79" s="762">
        <v>0.36</v>
      </c>
      <c r="K79" s="1071">
        <v>0.18</v>
      </c>
      <c r="L79" s="60"/>
      <c r="M79" s="60"/>
    </row>
    <row r="80" spans="1:13" ht="15.75" x14ac:dyDescent="0.25">
      <c r="B80" s="164" t="s">
        <v>969</v>
      </c>
      <c r="C80" s="155">
        <v>73</v>
      </c>
      <c r="D80" s="744" t="s">
        <v>272</v>
      </c>
      <c r="E80" s="744">
        <v>0.91400000000000003</v>
      </c>
      <c r="F80" s="744">
        <v>0.50700000000000001</v>
      </c>
      <c r="G80" s="762">
        <v>0.41599999999999998</v>
      </c>
      <c r="H80" s="671">
        <v>0</v>
      </c>
      <c r="I80" s="671">
        <v>0.6</v>
      </c>
      <c r="J80" s="762">
        <v>0.36</v>
      </c>
      <c r="K80" s="1071">
        <v>0.18</v>
      </c>
      <c r="L80" s="60"/>
      <c r="M80" s="60"/>
    </row>
    <row r="81" spans="1:13" ht="15.75" x14ac:dyDescent="0.25">
      <c r="B81" s="663" t="s">
        <v>970</v>
      </c>
      <c r="C81" s="155">
        <v>74</v>
      </c>
      <c r="D81" s="744" t="s">
        <v>272</v>
      </c>
      <c r="E81" s="744">
        <v>0.84499999999999997</v>
      </c>
      <c r="F81" s="744">
        <v>0.38700000000000001</v>
      </c>
      <c r="G81" s="762">
        <v>0.39</v>
      </c>
      <c r="H81" s="671">
        <v>0</v>
      </c>
      <c r="I81" s="671">
        <v>0.6</v>
      </c>
      <c r="J81" s="762">
        <v>0.36</v>
      </c>
      <c r="K81" s="1071">
        <v>0.18</v>
      </c>
      <c r="L81" s="60"/>
      <c r="M81" s="60"/>
    </row>
    <row r="82" spans="1:13" ht="15.75" x14ac:dyDescent="0.25">
      <c r="B82" s="164" t="s">
        <v>971</v>
      </c>
      <c r="C82" s="155">
        <v>75</v>
      </c>
      <c r="D82" s="744" t="s">
        <v>272</v>
      </c>
      <c r="E82" s="744">
        <v>0.47299999999999998</v>
      </c>
      <c r="F82" s="744">
        <v>0.25</v>
      </c>
      <c r="G82" s="762">
        <v>0.20499999999999999</v>
      </c>
      <c r="H82" s="671">
        <v>0</v>
      </c>
      <c r="I82" s="671">
        <v>0.6</v>
      </c>
      <c r="J82" s="762">
        <v>0.36</v>
      </c>
      <c r="K82" s="1071">
        <v>0.18</v>
      </c>
      <c r="L82" s="60"/>
      <c r="M82" s="60"/>
    </row>
    <row r="83" spans="1:13" ht="15.75" x14ac:dyDescent="0.25">
      <c r="B83" s="164" t="s">
        <v>972</v>
      </c>
      <c r="C83" s="155">
        <v>76</v>
      </c>
      <c r="D83" s="744" t="s">
        <v>272</v>
      </c>
      <c r="E83" s="744">
        <v>0.44400000000000001</v>
      </c>
      <c r="F83" s="744">
        <v>0.19500000000000001</v>
      </c>
      <c r="G83" s="762">
        <v>0.19600000000000001</v>
      </c>
      <c r="H83" s="671">
        <v>0</v>
      </c>
      <c r="I83" s="671">
        <v>0.6</v>
      </c>
      <c r="J83" s="762">
        <v>0.36</v>
      </c>
      <c r="K83" s="1071">
        <v>0.18</v>
      </c>
      <c r="L83" s="60"/>
      <c r="M83" s="60"/>
    </row>
    <row r="84" spans="1:13" ht="15.75" x14ac:dyDescent="0.25">
      <c r="B84" s="164" t="s">
        <v>973</v>
      </c>
      <c r="C84" s="155">
        <v>77</v>
      </c>
      <c r="D84" s="744" t="s">
        <v>272</v>
      </c>
      <c r="E84" s="744">
        <v>0.751</v>
      </c>
      <c r="F84" s="744">
        <v>0.41899999999999998</v>
      </c>
      <c r="G84" s="762">
        <v>0.34200000000000003</v>
      </c>
      <c r="H84" s="671">
        <v>0</v>
      </c>
      <c r="I84" s="671">
        <v>0.6</v>
      </c>
      <c r="J84" s="762">
        <v>0.36</v>
      </c>
      <c r="K84" s="1071">
        <v>0.18</v>
      </c>
      <c r="L84" s="60"/>
      <c r="M84" s="60"/>
    </row>
    <row r="85" spans="1:13" ht="15.75" x14ac:dyDescent="0.25">
      <c r="B85" s="164" t="s">
        <v>282</v>
      </c>
      <c r="C85" s="155">
        <v>78</v>
      </c>
      <c r="D85" s="744" t="s">
        <v>272</v>
      </c>
      <c r="E85" s="744">
        <v>0.70099999999999996</v>
      </c>
      <c r="F85" s="744">
        <v>0.33</v>
      </c>
      <c r="G85" s="762">
        <v>0.32500000000000001</v>
      </c>
      <c r="H85" s="671">
        <v>0</v>
      </c>
      <c r="I85" s="671">
        <v>0.6</v>
      </c>
      <c r="J85" s="762">
        <v>0.36</v>
      </c>
      <c r="K85" s="1071">
        <v>0.18</v>
      </c>
      <c r="L85" s="60"/>
      <c r="M85" s="60"/>
    </row>
    <row r="86" spans="1:13" ht="15.75" x14ac:dyDescent="0.25">
      <c r="B86" s="164" t="s">
        <v>974</v>
      </c>
      <c r="C86" s="155">
        <v>79</v>
      </c>
      <c r="D86" s="744" t="s">
        <v>272</v>
      </c>
      <c r="E86" s="744">
        <v>5.7000000000000002E-2</v>
      </c>
      <c r="F86" s="744">
        <v>0.04</v>
      </c>
      <c r="G86" s="762">
        <v>3.1E-2</v>
      </c>
      <c r="H86" s="671">
        <v>0</v>
      </c>
      <c r="I86" s="671">
        <v>0.6</v>
      </c>
      <c r="J86" s="762">
        <v>0.36</v>
      </c>
      <c r="K86" s="1071">
        <v>0.18</v>
      </c>
      <c r="L86" s="60"/>
      <c r="M86" s="60"/>
    </row>
    <row r="87" spans="1:13" ht="15.75" x14ac:dyDescent="0.25">
      <c r="A87">
        <v>139</v>
      </c>
      <c r="B87" s="164" t="s">
        <v>283</v>
      </c>
      <c r="C87" s="155">
        <v>80</v>
      </c>
      <c r="D87" s="744" t="s">
        <v>271</v>
      </c>
      <c r="E87" s="744">
        <v>0.60499999999999998</v>
      </c>
      <c r="F87" s="744">
        <v>0.34399999999999997</v>
      </c>
      <c r="G87" s="762">
        <v>0.313</v>
      </c>
      <c r="H87" s="671">
        <v>0</v>
      </c>
      <c r="I87" s="671">
        <v>0.6</v>
      </c>
      <c r="J87" s="762">
        <v>0.36</v>
      </c>
      <c r="K87" s="1071">
        <v>0.18</v>
      </c>
      <c r="L87" s="60"/>
      <c r="M87" s="60"/>
    </row>
    <row r="88" spans="1:13" ht="15.75" x14ac:dyDescent="0.25">
      <c r="A88">
        <v>140</v>
      </c>
      <c r="B88" s="164" t="s">
        <v>284</v>
      </c>
      <c r="C88" s="155">
        <v>81</v>
      </c>
      <c r="D88" s="744" t="s">
        <v>271</v>
      </c>
      <c r="E88" s="744">
        <v>0.57599999999999996</v>
      </c>
      <c r="F88" s="744">
        <v>0.36699999999999999</v>
      </c>
      <c r="G88" s="762">
        <v>0.28399999999999997</v>
      </c>
      <c r="H88" s="671">
        <v>0</v>
      </c>
      <c r="I88" s="671">
        <v>0.6</v>
      </c>
      <c r="J88" s="762">
        <v>0.36</v>
      </c>
      <c r="K88" s="1071">
        <v>0.18</v>
      </c>
      <c r="L88" s="60"/>
      <c r="M88" s="60"/>
    </row>
    <row r="89" spans="1:13" ht="15.75" x14ac:dyDescent="0.25">
      <c r="B89" s="164" t="s">
        <v>285</v>
      </c>
      <c r="C89" s="155">
        <v>82</v>
      </c>
      <c r="D89" s="744" t="s">
        <v>272</v>
      </c>
      <c r="E89" s="744">
        <v>0.23100000000000001</v>
      </c>
      <c r="F89" s="744">
        <v>0.13300000000000001</v>
      </c>
      <c r="G89" s="662">
        <v>0.121</v>
      </c>
      <c r="H89" s="671">
        <v>0</v>
      </c>
      <c r="I89" s="671">
        <v>0.6</v>
      </c>
      <c r="J89" s="762">
        <v>0.36</v>
      </c>
      <c r="K89" s="1071">
        <v>0.18</v>
      </c>
      <c r="L89" s="60"/>
      <c r="M89" s="60"/>
    </row>
    <row r="90" spans="1:13" ht="15.75" x14ac:dyDescent="0.25">
      <c r="B90" s="164" t="s">
        <v>286</v>
      </c>
      <c r="C90" s="155">
        <v>83</v>
      </c>
      <c r="D90" s="744" t="s">
        <v>272</v>
      </c>
      <c r="E90" s="744">
        <v>0.70199999999999996</v>
      </c>
      <c r="F90" s="744">
        <v>0.38700000000000001</v>
      </c>
      <c r="G90" s="762">
        <v>0.308</v>
      </c>
      <c r="H90" s="671">
        <v>0</v>
      </c>
      <c r="I90" s="671">
        <v>0.6</v>
      </c>
      <c r="J90" s="762">
        <v>0.36</v>
      </c>
      <c r="K90" s="1071">
        <v>0.18</v>
      </c>
      <c r="L90" s="60"/>
      <c r="M90" s="60"/>
    </row>
    <row r="91" spans="1:13" ht="15.75" x14ac:dyDescent="0.25">
      <c r="B91" s="164" t="s">
        <v>287</v>
      </c>
      <c r="C91" s="155">
        <v>84</v>
      </c>
      <c r="D91" s="744" t="s">
        <v>272</v>
      </c>
      <c r="E91" s="744">
        <v>1.0740000000000001</v>
      </c>
      <c r="F91" s="744">
        <v>0.33400000000000002</v>
      </c>
      <c r="G91" s="762">
        <v>1.03</v>
      </c>
      <c r="H91" s="671">
        <v>0</v>
      </c>
      <c r="I91" s="671">
        <v>0.6</v>
      </c>
      <c r="J91" s="762">
        <v>0.36</v>
      </c>
      <c r="K91" s="1071">
        <v>0.18</v>
      </c>
      <c r="L91" s="60"/>
      <c r="M91" s="60"/>
    </row>
    <row r="92" spans="1:13" ht="15.75" x14ac:dyDescent="0.25">
      <c r="A92">
        <v>94</v>
      </c>
      <c r="B92" s="164" t="s">
        <v>975</v>
      </c>
      <c r="C92" s="155">
        <v>85</v>
      </c>
      <c r="D92" s="744" t="s">
        <v>271</v>
      </c>
      <c r="E92" s="744">
        <v>51.1</v>
      </c>
      <c r="F92" s="744">
        <v>23.4</v>
      </c>
      <c r="G92" s="762">
        <v>57.5</v>
      </c>
      <c r="H92" s="671">
        <v>0</v>
      </c>
      <c r="I92" s="671">
        <v>0.55000000000000004</v>
      </c>
      <c r="J92" s="762">
        <v>0.13750000000000001</v>
      </c>
      <c r="K92" s="1071">
        <v>0.13750000000000001</v>
      </c>
      <c r="L92" s="60"/>
      <c r="M92" s="60"/>
    </row>
    <row r="93" spans="1:13" ht="18" customHeight="1" x14ac:dyDescent="0.25">
      <c r="A93">
        <v>95</v>
      </c>
      <c r="B93" s="164" t="s">
        <v>976</v>
      </c>
      <c r="C93" s="155">
        <v>86</v>
      </c>
      <c r="D93" s="744" t="s">
        <v>271</v>
      </c>
      <c r="E93" s="744">
        <v>53.6</v>
      </c>
      <c r="F93" s="744">
        <v>23.4</v>
      </c>
      <c r="G93" s="762">
        <v>67</v>
      </c>
      <c r="H93" s="671">
        <v>0</v>
      </c>
      <c r="I93" s="671">
        <v>0.55000000000000004</v>
      </c>
      <c r="J93" s="762">
        <v>0.13750000000000001</v>
      </c>
      <c r="K93" s="1071">
        <v>0.13750000000000001</v>
      </c>
      <c r="L93" s="60"/>
      <c r="M93" s="60"/>
    </row>
    <row r="94" spans="1:13" ht="15.75" x14ac:dyDescent="0.25">
      <c r="A94">
        <v>96</v>
      </c>
      <c r="B94" s="164" t="s">
        <v>671</v>
      </c>
      <c r="C94" s="155">
        <v>87</v>
      </c>
      <c r="D94" s="744" t="s">
        <v>271</v>
      </c>
      <c r="E94" s="744">
        <v>34.9</v>
      </c>
      <c r="F94" s="744">
        <v>16.5</v>
      </c>
      <c r="G94" s="762">
        <v>47</v>
      </c>
      <c r="H94" s="671">
        <v>0</v>
      </c>
      <c r="I94" s="671">
        <v>0.55000000000000004</v>
      </c>
      <c r="J94" s="762">
        <v>0.13750000000000001</v>
      </c>
      <c r="K94" s="1071">
        <v>0.13750000000000001</v>
      </c>
      <c r="L94" s="60"/>
      <c r="M94" s="60"/>
    </row>
    <row r="95" spans="1:13" ht="15.75" x14ac:dyDescent="0.25">
      <c r="A95">
        <v>97</v>
      </c>
      <c r="B95" s="164" t="s">
        <v>672</v>
      </c>
      <c r="C95" s="155">
        <v>88</v>
      </c>
      <c r="D95" s="744" t="s">
        <v>271</v>
      </c>
      <c r="E95" s="744">
        <v>33.4</v>
      </c>
      <c r="F95" s="744">
        <v>15.3</v>
      </c>
      <c r="G95" s="762">
        <v>51</v>
      </c>
      <c r="H95" s="671">
        <v>0</v>
      </c>
      <c r="I95" s="671">
        <v>0.55000000000000004</v>
      </c>
      <c r="J95" s="762">
        <v>0.13750000000000001</v>
      </c>
      <c r="K95" s="1071">
        <v>0.13750000000000001</v>
      </c>
      <c r="L95" s="60"/>
      <c r="M95" s="60"/>
    </row>
    <row r="96" spans="1:13" ht="15.75" customHeight="1" x14ac:dyDescent="0.25">
      <c r="A96">
        <v>98</v>
      </c>
      <c r="B96" s="164" t="s">
        <v>673</v>
      </c>
      <c r="C96" s="155">
        <v>89</v>
      </c>
      <c r="D96" s="744" t="s">
        <v>271</v>
      </c>
      <c r="E96" s="744">
        <v>63.5</v>
      </c>
      <c r="F96" s="744">
        <v>28</v>
      </c>
      <c r="G96" s="762">
        <v>73.7</v>
      </c>
      <c r="H96" s="671">
        <v>0</v>
      </c>
      <c r="I96" s="671">
        <v>0.55000000000000004</v>
      </c>
      <c r="J96" s="762">
        <v>0.13750000000000001</v>
      </c>
      <c r="K96" s="1071">
        <v>0.13750000000000001</v>
      </c>
      <c r="L96" s="60"/>
      <c r="M96" s="60"/>
    </row>
    <row r="97" spans="1:13" ht="17.25" customHeight="1" x14ac:dyDescent="0.25">
      <c r="A97">
        <v>99</v>
      </c>
      <c r="B97" s="164" t="s">
        <v>674</v>
      </c>
      <c r="C97" s="155">
        <v>90</v>
      </c>
      <c r="D97" s="744" t="s">
        <v>271</v>
      </c>
      <c r="E97" s="744">
        <v>42.3</v>
      </c>
      <c r="F97" s="744">
        <v>18.399999999999999</v>
      </c>
      <c r="G97" s="762">
        <v>56.3</v>
      </c>
      <c r="H97" s="671">
        <v>0</v>
      </c>
      <c r="I97" s="671">
        <v>0.55000000000000004</v>
      </c>
      <c r="J97" s="762">
        <v>0.13750000000000001</v>
      </c>
      <c r="K97" s="1071">
        <v>0.13750000000000001</v>
      </c>
      <c r="L97" s="60"/>
      <c r="M97" s="60"/>
    </row>
    <row r="98" spans="1:13" ht="15.75" customHeight="1" x14ac:dyDescent="0.25">
      <c r="A98">
        <v>100</v>
      </c>
      <c r="B98" s="164" t="s">
        <v>675</v>
      </c>
      <c r="C98" s="155">
        <v>91</v>
      </c>
      <c r="D98" s="744" t="s">
        <v>271</v>
      </c>
      <c r="E98" s="744">
        <v>44.5</v>
      </c>
      <c r="F98" s="744">
        <v>18.899999999999999</v>
      </c>
      <c r="G98" s="762">
        <v>54.3</v>
      </c>
      <c r="H98" s="671">
        <v>0</v>
      </c>
      <c r="I98" s="671">
        <v>0.55000000000000004</v>
      </c>
      <c r="J98" s="762">
        <v>0.13750000000000001</v>
      </c>
      <c r="K98" s="1071">
        <v>0.13750000000000001</v>
      </c>
      <c r="L98" s="60"/>
      <c r="M98" s="60"/>
    </row>
    <row r="99" spans="1:13" ht="15.75" x14ac:dyDescent="0.25">
      <c r="A99">
        <v>101</v>
      </c>
      <c r="B99" s="164" t="s">
        <v>676</v>
      </c>
      <c r="C99" s="155">
        <v>92</v>
      </c>
      <c r="D99" s="744" t="s">
        <v>271</v>
      </c>
      <c r="E99" s="744">
        <v>31.6</v>
      </c>
      <c r="F99" s="744">
        <v>13.5</v>
      </c>
      <c r="G99" s="762">
        <v>42</v>
      </c>
      <c r="H99" s="671">
        <v>0</v>
      </c>
      <c r="I99" s="671">
        <v>0.55000000000000004</v>
      </c>
      <c r="J99" s="762">
        <v>0.13750000000000001</v>
      </c>
      <c r="K99" s="1071">
        <v>0.13750000000000001</v>
      </c>
      <c r="L99" s="60"/>
      <c r="M99" s="60"/>
    </row>
    <row r="100" spans="1:13" ht="15.75" x14ac:dyDescent="0.25">
      <c r="A100">
        <v>109</v>
      </c>
      <c r="B100" s="164" t="s">
        <v>977</v>
      </c>
      <c r="C100" s="155">
        <v>93</v>
      </c>
      <c r="D100" s="744" t="s">
        <v>271</v>
      </c>
      <c r="E100" s="744">
        <v>2.6</v>
      </c>
      <c r="F100" s="744">
        <v>1.5</v>
      </c>
      <c r="G100" s="762">
        <v>2.1</v>
      </c>
      <c r="H100" s="671">
        <v>0</v>
      </c>
      <c r="I100" s="671">
        <v>0.55000000000000004</v>
      </c>
      <c r="J100" s="762">
        <v>0.16500000000000001</v>
      </c>
      <c r="K100" s="1071">
        <v>0.16500000000000001</v>
      </c>
      <c r="L100" s="60"/>
      <c r="M100" s="60"/>
    </row>
    <row r="101" spans="1:13" ht="15.75" x14ac:dyDescent="0.25">
      <c r="A101">
        <v>110</v>
      </c>
      <c r="B101" s="164" t="s">
        <v>978</v>
      </c>
      <c r="C101" s="155">
        <v>94</v>
      </c>
      <c r="D101" s="744" t="s">
        <v>271</v>
      </c>
      <c r="E101" s="744">
        <v>9.6999999999999993</v>
      </c>
      <c r="F101" s="744">
        <v>5.4</v>
      </c>
      <c r="G101" s="762">
        <v>8.3000000000000007</v>
      </c>
      <c r="H101" s="671">
        <v>0</v>
      </c>
      <c r="I101" s="671">
        <v>0.55000000000000004</v>
      </c>
      <c r="J101" s="762">
        <v>0.16500000000000001</v>
      </c>
      <c r="K101" s="1071">
        <v>0.16500000000000001</v>
      </c>
      <c r="L101" s="60"/>
      <c r="M101" s="60"/>
    </row>
    <row r="102" spans="1:13" ht="15.75" x14ac:dyDescent="0.25">
      <c r="A102">
        <v>111</v>
      </c>
      <c r="B102" s="164" t="s">
        <v>979</v>
      </c>
      <c r="C102" s="155">
        <v>95</v>
      </c>
      <c r="D102" s="744" t="s">
        <v>271</v>
      </c>
      <c r="E102" s="744">
        <v>0.7</v>
      </c>
      <c r="F102" s="744">
        <v>0.4</v>
      </c>
      <c r="G102" s="762">
        <v>0.9</v>
      </c>
      <c r="H102" s="671">
        <v>0</v>
      </c>
      <c r="I102" s="671">
        <v>0.55000000000000004</v>
      </c>
      <c r="J102" s="762">
        <v>0.16500000000000001</v>
      </c>
      <c r="K102" s="1071">
        <v>0.16500000000000001</v>
      </c>
      <c r="L102" s="60"/>
      <c r="M102" s="60"/>
    </row>
    <row r="103" spans="1:13" ht="15.75" x14ac:dyDescent="0.25">
      <c r="A103">
        <v>103</v>
      </c>
      <c r="B103" s="154" t="s">
        <v>980</v>
      </c>
      <c r="C103" s="155">
        <v>96</v>
      </c>
      <c r="D103" s="744" t="s">
        <v>271</v>
      </c>
      <c r="E103" s="744">
        <v>20.100000000000001</v>
      </c>
      <c r="F103" s="744">
        <v>6.2</v>
      </c>
      <c r="G103" s="762">
        <v>6.2</v>
      </c>
      <c r="H103" s="671">
        <v>0</v>
      </c>
      <c r="I103" s="671">
        <v>0.55000000000000004</v>
      </c>
      <c r="J103" s="762">
        <v>0.13750000000000001</v>
      </c>
      <c r="K103" s="1071">
        <v>0.13750000000000001</v>
      </c>
      <c r="L103" s="60"/>
      <c r="M103" s="60"/>
    </row>
    <row r="104" spans="1:13" ht="16.5" customHeight="1" x14ac:dyDescent="0.25">
      <c r="A104">
        <v>104</v>
      </c>
      <c r="B104" s="154" t="s">
        <v>981</v>
      </c>
      <c r="C104" s="155">
        <v>97</v>
      </c>
      <c r="D104" s="744" t="s">
        <v>271</v>
      </c>
      <c r="E104" s="744">
        <v>17.600000000000001</v>
      </c>
      <c r="F104" s="744">
        <v>5</v>
      </c>
      <c r="G104" s="762">
        <v>5</v>
      </c>
      <c r="H104" s="671">
        <v>0</v>
      </c>
      <c r="I104" s="671">
        <v>0.55000000000000004</v>
      </c>
      <c r="J104" s="762">
        <v>0.13750000000000001</v>
      </c>
      <c r="K104" s="1071">
        <v>0.13750000000000001</v>
      </c>
      <c r="L104" s="60"/>
      <c r="M104" s="60"/>
    </row>
    <row r="105" spans="1:13" ht="15.75" x14ac:dyDescent="0.25">
      <c r="A105">
        <v>106</v>
      </c>
      <c r="B105" s="154" t="s">
        <v>982</v>
      </c>
      <c r="C105" s="155">
        <v>98</v>
      </c>
      <c r="D105" s="744" t="s">
        <v>271</v>
      </c>
      <c r="E105" s="744">
        <v>15.2</v>
      </c>
      <c r="F105" s="744">
        <v>5.7</v>
      </c>
      <c r="G105" s="762">
        <v>18</v>
      </c>
      <c r="H105" s="671">
        <v>0</v>
      </c>
      <c r="I105" s="671">
        <v>0.55000000000000004</v>
      </c>
      <c r="J105" s="762">
        <v>0.13750000000000001</v>
      </c>
      <c r="K105" s="1071">
        <v>0.13750000000000001</v>
      </c>
      <c r="L105" s="60"/>
      <c r="M105" s="60"/>
    </row>
    <row r="106" spans="1:13" ht="15.75" x14ac:dyDescent="0.25">
      <c r="A106">
        <v>114</v>
      </c>
      <c r="B106" s="154" t="s">
        <v>983</v>
      </c>
      <c r="C106" s="155">
        <v>99</v>
      </c>
      <c r="D106" s="744" t="s">
        <v>271</v>
      </c>
      <c r="E106" s="744">
        <v>21.6</v>
      </c>
      <c r="F106" s="744">
        <v>6.2</v>
      </c>
      <c r="G106" s="762">
        <v>24</v>
      </c>
      <c r="H106" s="671">
        <v>0</v>
      </c>
      <c r="I106" s="671">
        <v>0.55000000000000004</v>
      </c>
      <c r="J106" s="762">
        <v>0.13750000000000001</v>
      </c>
      <c r="K106" s="1071">
        <v>0.13750000000000001</v>
      </c>
      <c r="L106" s="60"/>
      <c r="M106" s="60"/>
    </row>
    <row r="107" spans="1:13" ht="15.75" x14ac:dyDescent="0.25">
      <c r="B107" s="675" t="s">
        <v>984</v>
      </c>
      <c r="C107" s="155"/>
      <c r="D107" s="744"/>
      <c r="E107" s="744"/>
      <c r="F107" s="744"/>
      <c r="G107" s="762"/>
      <c r="H107" s="671"/>
      <c r="I107" s="671"/>
      <c r="J107" s="345"/>
      <c r="K107" s="1071"/>
      <c r="L107" s="60"/>
      <c r="M107" s="60"/>
    </row>
    <row r="108" spans="1:13" ht="17.25" customHeight="1" x14ac:dyDescent="0.25">
      <c r="B108" s="675" t="s">
        <v>984</v>
      </c>
      <c r="C108" s="155"/>
      <c r="D108" s="744"/>
      <c r="E108" s="744"/>
      <c r="F108" s="744"/>
      <c r="G108" s="762"/>
      <c r="H108" s="671"/>
      <c r="I108" s="671"/>
      <c r="J108" s="345"/>
      <c r="K108" s="1071"/>
      <c r="L108" s="60"/>
      <c r="M108" s="60"/>
    </row>
    <row r="109" spans="1:13" ht="15.75" x14ac:dyDescent="0.25">
      <c r="J109" s="60"/>
      <c r="K109" s="518"/>
      <c r="L109" s="60"/>
      <c r="M109" s="60"/>
    </row>
    <row r="110" spans="1:13" ht="15.75" x14ac:dyDescent="0.25">
      <c r="B110" s="800"/>
      <c r="C110" s="800"/>
      <c r="D110" s="800"/>
      <c r="E110" s="800"/>
      <c r="F110" s="800"/>
      <c r="H110" s="60"/>
      <c r="I110" s="60"/>
      <c r="J110" s="60"/>
      <c r="K110" s="518"/>
      <c r="L110" s="60"/>
      <c r="M110" s="60"/>
    </row>
    <row r="111" spans="1:13" ht="17.25" customHeight="1" x14ac:dyDescent="0.25">
      <c r="H111" s="60"/>
      <c r="I111" s="60"/>
      <c r="J111" s="60"/>
      <c r="K111" s="518"/>
      <c r="L111" s="60"/>
      <c r="M111" s="60"/>
    </row>
    <row r="112" spans="1:13" ht="15.75" customHeight="1" x14ac:dyDescent="0.25">
      <c r="J112" s="60"/>
      <c r="K112" s="518"/>
      <c r="L112" s="60"/>
      <c r="M112" s="60"/>
    </row>
    <row r="113" spans="2:13" ht="15.75" x14ac:dyDescent="0.25">
      <c r="J113" s="60"/>
      <c r="K113" s="518"/>
      <c r="L113" s="60"/>
      <c r="M113" s="60"/>
    </row>
    <row r="114" spans="2:13" ht="15.75" x14ac:dyDescent="0.25">
      <c r="J114" s="60"/>
      <c r="K114" s="518"/>
      <c r="L114" s="60"/>
      <c r="M114" s="60"/>
    </row>
    <row r="115" spans="2:13" ht="17.25" customHeight="1" x14ac:dyDescent="0.25">
      <c r="J115" s="60"/>
      <c r="K115" s="518"/>
      <c r="L115" s="60"/>
      <c r="M115" s="60"/>
    </row>
    <row r="116" spans="2:13" ht="18.75" x14ac:dyDescent="0.3">
      <c r="B116" s="676" t="s">
        <v>985</v>
      </c>
      <c r="J116" s="60"/>
      <c r="K116" s="518"/>
      <c r="L116" s="60"/>
      <c r="M116" s="60"/>
    </row>
    <row r="117" spans="2:13" ht="15.75" x14ac:dyDescent="0.25">
      <c r="B117" s="677" t="s">
        <v>986</v>
      </c>
      <c r="C117" s="156" t="s">
        <v>987</v>
      </c>
      <c r="J117" s="60"/>
      <c r="K117" s="518"/>
      <c r="L117" s="60"/>
      <c r="M117" s="60"/>
    </row>
    <row r="118" spans="2:13" ht="15.75" x14ac:dyDescent="0.25">
      <c r="B118" s="678" t="s">
        <v>805</v>
      </c>
      <c r="C118" s="762">
        <v>0</v>
      </c>
      <c r="J118" s="60"/>
      <c r="K118" s="518"/>
      <c r="L118" s="60"/>
      <c r="M118" s="60"/>
    </row>
    <row r="119" spans="2:13" ht="15.75" x14ac:dyDescent="0.25">
      <c r="B119" s="678" t="s">
        <v>988</v>
      </c>
      <c r="C119" s="762">
        <v>0.7</v>
      </c>
      <c r="J119" s="60"/>
      <c r="K119" s="518"/>
      <c r="L119" s="60"/>
      <c r="M119" s="60"/>
    </row>
    <row r="120" spans="2:13" ht="15.75" x14ac:dyDescent="0.25">
      <c r="B120" s="678" t="s">
        <v>989</v>
      </c>
      <c r="C120" s="762">
        <v>0.7</v>
      </c>
      <c r="J120" s="60"/>
      <c r="K120" s="518"/>
      <c r="L120" s="60"/>
      <c r="M120" s="60"/>
    </row>
    <row r="121" spans="2:13" ht="15.75" x14ac:dyDescent="0.25">
      <c r="B121" s="678" t="s">
        <v>990</v>
      </c>
      <c r="C121" s="762">
        <v>1.1000000000000001</v>
      </c>
      <c r="J121" s="60"/>
      <c r="K121" s="518"/>
      <c r="L121" s="60"/>
      <c r="M121" s="60"/>
    </row>
    <row r="122" spans="2:13" ht="15.75" x14ac:dyDescent="0.25">
      <c r="B122" s="678" t="s">
        <v>991</v>
      </c>
      <c r="C122" s="762">
        <v>0.3</v>
      </c>
      <c r="J122" s="60"/>
      <c r="K122" s="518"/>
      <c r="L122" s="60"/>
      <c r="M122" s="60"/>
    </row>
    <row r="123" spans="2:13" ht="15.75" x14ac:dyDescent="0.25">
      <c r="B123" s="678" t="s">
        <v>992</v>
      </c>
      <c r="C123" s="762">
        <v>0.7</v>
      </c>
      <c r="J123" s="60"/>
      <c r="K123" s="518"/>
      <c r="L123" s="60"/>
      <c r="M123" s="60"/>
    </row>
    <row r="124" spans="2:13" ht="15.75" x14ac:dyDescent="0.25">
      <c r="B124" s="678" t="s">
        <v>993</v>
      </c>
      <c r="C124" s="762">
        <v>1</v>
      </c>
      <c r="J124" s="60"/>
      <c r="K124" s="518"/>
      <c r="L124" s="60"/>
      <c r="M124" s="60"/>
    </row>
    <row r="125" spans="2:13" ht="15.75" x14ac:dyDescent="0.25">
      <c r="B125" s="678" t="s">
        <v>994</v>
      </c>
      <c r="C125" s="762">
        <v>0.05</v>
      </c>
      <c r="J125" s="60"/>
      <c r="K125" s="518"/>
      <c r="L125" s="60"/>
      <c r="M125" s="60"/>
    </row>
    <row r="126" spans="2:13" ht="15.75" x14ac:dyDescent="0.25">
      <c r="B126" s="678" t="s">
        <v>995</v>
      </c>
      <c r="C126" s="762">
        <v>0.1</v>
      </c>
      <c r="J126" s="60"/>
      <c r="K126" s="518"/>
      <c r="L126" s="60"/>
      <c r="M126" s="60"/>
    </row>
    <row r="127" spans="2:13" ht="15.75" x14ac:dyDescent="0.25">
      <c r="B127" s="678" t="s">
        <v>996</v>
      </c>
      <c r="C127" s="762">
        <v>0.02</v>
      </c>
      <c r="J127" s="60"/>
      <c r="K127" s="518"/>
      <c r="L127" s="60"/>
      <c r="M127" s="60"/>
    </row>
    <row r="128" spans="2:13" ht="15.75" x14ac:dyDescent="0.25">
      <c r="B128" s="678" t="s">
        <v>997</v>
      </c>
      <c r="C128" s="762">
        <v>0.06</v>
      </c>
      <c r="J128" s="60"/>
      <c r="K128" s="518"/>
      <c r="L128" s="60"/>
      <c r="M128" s="60"/>
    </row>
    <row r="129" spans="2:13" ht="15.75" x14ac:dyDescent="0.25">
      <c r="B129" s="678" t="s">
        <v>998</v>
      </c>
      <c r="C129" s="762">
        <v>0.16</v>
      </c>
      <c r="J129" s="60"/>
      <c r="K129" s="518"/>
      <c r="L129" s="60"/>
      <c r="M129" s="60"/>
    </row>
    <row r="130" spans="2:13" ht="15.75" x14ac:dyDescent="0.25">
      <c r="B130" s="678" t="s">
        <v>999</v>
      </c>
      <c r="C130" s="762">
        <v>0.3</v>
      </c>
      <c r="J130" s="60"/>
      <c r="K130" s="518"/>
      <c r="L130" s="60"/>
      <c r="M130" s="60"/>
    </row>
    <row r="131" spans="2:13" ht="15.75" x14ac:dyDescent="0.25">
      <c r="B131" s="678" t="s">
        <v>1000</v>
      </c>
      <c r="C131" s="762">
        <v>4.0000000000000001E-3</v>
      </c>
      <c r="J131" s="60"/>
      <c r="K131" s="518"/>
      <c r="L131" s="60"/>
      <c r="M131" s="60"/>
    </row>
    <row r="132" spans="2:13" ht="15.75" x14ac:dyDescent="0.25">
      <c r="B132" s="678" t="s">
        <v>1001</v>
      </c>
      <c r="C132" s="762">
        <v>4.0000000000000001E-3</v>
      </c>
      <c r="J132" s="60"/>
      <c r="K132" s="518"/>
      <c r="L132" s="60"/>
      <c r="M132" s="60"/>
    </row>
    <row r="133" spans="2:13" ht="15.75" x14ac:dyDescent="0.25">
      <c r="B133" s="678" t="s">
        <v>1002</v>
      </c>
      <c r="C133" s="762">
        <v>4.0000000000000001E-3</v>
      </c>
      <c r="J133" s="60"/>
      <c r="K133" s="518"/>
      <c r="L133" s="60"/>
      <c r="M133" s="60"/>
    </row>
    <row r="134" spans="2:13" ht="16.5" customHeight="1" x14ac:dyDescent="0.25">
      <c r="B134" s="678" t="s">
        <v>1003</v>
      </c>
      <c r="C134" s="762">
        <v>4.0000000000000001E-3</v>
      </c>
      <c r="J134" s="60"/>
      <c r="K134" s="518"/>
      <c r="L134" s="60"/>
      <c r="M134" s="60"/>
    </row>
    <row r="135" spans="2:13" ht="16.5" customHeight="1" x14ac:dyDescent="0.25">
      <c r="B135" s="678" t="s">
        <v>1004</v>
      </c>
      <c r="C135" s="762">
        <v>4.0000000000000001E-3</v>
      </c>
      <c r="J135" s="60"/>
      <c r="K135" s="518"/>
      <c r="L135" s="60"/>
      <c r="M135" s="60"/>
    </row>
    <row r="136" spans="2:13" ht="15.75" x14ac:dyDescent="0.25">
      <c r="B136" s="678" t="s">
        <v>1005</v>
      </c>
      <c r="C136" s="762">
        <v>4.0000000000000001E-3</v>
      </c>
      <c r="J136" s="60"/>
      <c r="K136" s="518"/>
      <c r="L136" s="60"/>
      <c r="M136" s="60"/>
    </row>
    <row r="137" spans="2:13" ht="15.75" x14ac:dyDescent="0.25">
      <c r="B137" s="124"/>
      <c r="J137" s="60"/>
      <c r="K137" s="518"/>
      <c r="L137" s="60"/>
      <c r="M137" s="60"/>
    </row>
    <row r="138" spans="2:13" ht="15.75" x14ac:dyDescent="0.25">
      <c r="B138" s="124"/>
      <c r="J138" s="60"/>
      <c r="K138" s="518"/>
      <c r="L138" s="60"/>
      <c r="M138" s="60"/>
    </row>
    <row r="139" spans="2:13" ht="15.75" x14ac:dyDescent="0.25">
      <c r="J139" s="60"/>
      <c r="K139" s="518"/>
      <c r="L139" s="60"/>
      <c r="M139" s="60"/>
    </row>
    <row r="140" spans="2:13" ht="15.75" customHeight="1" x14ac:dyDescent="0.25">
      <c r="J140" s="60"/>
      <c r="K140" s="518"/>
      <c r="L140" s="60"/>
      <c r="M140" s="60"/>
    </row>
    <row r="141" spans="2:13" ht="15.75" x14ac:dyDescent="0.25">
      <c r="J141" s="60"/>
      <c r="K141" s="518"/>
      <c r="L141" s="60"/>
      <c r="M141" s="60"/>
    </row>
    <row r="142" spans="2:13" ht="16.5" customHeight="1" x14ac:dyDescent="0.25">
      <c r="J142" s="60"/>
      <c r="K142" s="518"/>
      <c r="L142" s="60"/>
      <c r="M142" s="60"/>
    </row>
    <row r="143" spans="2:13" ht="15.75" x14ac:dyDescent="0.25">
      <c r="J143" s="60"/>
      <c r="K143" s="518"/>
      <c r="L143" s="60"/>
      <c r="M143" s="60"/>
    </row>
    <row r="144" spans="2:13" ht="15.75" x14ac:dyDescent="0.25">
      <c r="J144" s="60"/>
      <c r="K144" s="518"/>
      <c r="L144" s="60"/>
      <c r="M144" s="60"/>
    </row>
    <row r="145" spans="10:13" ht="15.75" x14ac:dyDescent="0.25">
      <c r="J145" s="60"/>
      <c r="K145" s="518"/>
      <c r="L145" s="60"/>
      <c r="M145" s="60"/>
    </row>
  </sheetData>
  <mergeCells count="24">
    <mergeCell ref="N27:P27"/>
    <mergeCell ref="O55:T55"/>
    <mergeCell ref="O58:T58"/>
    <mergeCell ref="T11:U11"/>
    <mergeCell ref="T12:U12"/>
    <mergeCell ref="T13:U13"/>
    <mergeCell ref="T14:U14"/>
    <mergeCell ref="S15:U15"/>
    <mergeCell ref="M19:W19"/>
    <mergeCell ref="N20:S20"/>
    <mergeCell ref="T20:Y20"/>
    <mergeCell ref="T9:U9"/>
    <mergeCell ref="P6:Q8"/>
    <mergeCell ref="J5:K5"/>
    <mergeCell ref="A5:A6"/>
    <mergeCell ref="Z20:AC20"/>
    <mergeCell ref="T10:U10"/>
    <mergeCell ref="B5:B6"/>
    <mergeCell ref="D5:D6"/>
    <mergeCell ref="B4:K4"/>
    <mergeCell ref="E5:G5"/>
    <mergeCell ref="H5:I5"/>
    <mergeCell ref="N6:O8"/>
    <mergeCell ref="S6:U8"/>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tabColor theme="6"/>
  </sheetPr>
  <dimension ref="A1:CG111"/>
  <sheetViews>
    <sheetView topLeftCell="E1" zoomScale="90" zoomScaleNormal="90" workbookViewId="0">
      <selection activeCell="AN10" sqref="AN10"/>
    </sheetView>
  </sheetViews>
  <sheetFormatPr baseColWidth="10" defaultRowHeight="15.75" x14ac:dyDescent="0.25"/>
  <cols>
    <col min="1" max="1" width="20.42578125" style="112" customWidth="1"/>
    <col min="2" max="2" width="8.7109375" style="80" customWidth="1"/>
    <col min="3" max="3" width="22.140625" style="80" customWidth="1"/>
    <col min="4" max="4" width="6.85546875" style="112" customWidth="1"/>
    <col min="5" max="6" width="8.5703125" style="80" customWidth="1"/>
    <col min="7" max="7" width="11.140625" style="80" customWidth="1"/>
    <col min="8" max="8" width="16.28515625" style="80" customWidth="1"/>
    <col min="9" max="9" width="5.42578125" style="80" customWidth="1"/>
    <col min="10" max="10" width="16.7109375" style="80" customWidth="1"/>
    <col min="11" max="11" width="4.28515625" style="80" customWidth="1"/>
    <col min="12" max="12" width="6.85546875" style="80" customWidth="1"/>
    <col min="13" max="13" width="8" style="80" customWidth="1"/>
    <col min="14" max="14" width="9.140625" style="80" customWidth="1"/>
    <col min="15" max="15" width="4" style="80" customWidth="1"/>
    <col min="16" max="16" width="12" style="80" customWidth="1"/>
    <col min="17" max="17" width="8.85546875" style="112" customWidth="1"/>
    <col min="18" max="18" width="12.85546875" style="241" customWidth="1"/>
    <col min="19" max="19" width="8.85546875" style="241" customWidth="1"/>
    <col min="20" max="20" width="9.140625" style="80" customWidth="1"/>
    <col min="21" max="21" width="1.85546875" style="80" customWidth="1"/>
    <col min="22" max="22" width="14.7109375" style="80" customWidth="1"/>
    <col min="23" max="23" width="11.42578125" style="80" customWidth="1"/>
    <col min="24" max="24" width="10.7109375" style="80" customWidth="1"/>
    <col min="25" max="25" width="12.140625" style="80" customWidth="1"/>
    <col min="26" max="26" width="5.85546875" style="80" customWidth="1"/>
    <col min="27" max="27" width="7.140625" style="80" customWidth="1"/>
    <col min="28" max="29" width="6.28515625" style="80" customWidth="1"/>
    <col min="30" max="30" width="1.28515625" style="80" customWidth="1"/>
    <col min="31" max="31" width="10" style="80" customWidth="1"/>
    <col min="32" max="32" width="12.28515625" style="80" customWidth="1"/>
    <col min="33" max="33" width="6.5703125" style="80" customWidth="1"/>
    <col min="34" max="36" width="6.85546875" style="80" customWidth="1"/>
    <col min="37" max="37" width="1.28515625" style="80" customWidth="1"/>
    <col min="38" max="38" width="10.140625" style="80" customWidth="1"/>
    <col min="39" max="39" width="12.42578125" style="80" customWidth="1"/>
    <col min="40" max="40" width="6.5703125" style="80" customWidth="1"/>
    <col min="41" max="43" width="6.140625" style="80" customWidth="1"/>
    <col min="44" max="44" width="1" style="80" customWidth="1"/>
    <col min="45" max="46" width="2.85546875" style="80" customWidth="1"/>
    <col min="47" max="47" width="3.42578125" style="80" customWidth="1"/>
    <col min="48" max="53" width="2.85546875" style="80" customWidth="1"/>
    <col min="54" max="54" width="3.85546875" style="80" customWidth="1"/>
    <col min="55" max="57" width="2.85546875" style="80" customWidth="1"/>
    <col min="58" max="58" width="1.5703125" style="80" customWidth="1"/>
    <col min="59" max="59" width="7.28515625" style="80" customWidth="1"/>
    <col min="60" max="60" width="7.42578125" style="80" customWidth="1"/>
    <col min="61" max="61" width="7.28515625" style="80" customWidth="1"/>
    <col min="62" max="62" width="7.7109375" style="80" customWidth="1"/>
    <col min="63" max="63" width="7.42578125" style="80" customWidth="1"/>
    <col min="64" max="64" width="2" style="80" customWidth="1"/>
    <col min="65" max="65" width="7.5703125" style="80" customWidth="1"/>
    <col min="66" max="66" width="7.42578125" style="80" customWidth="1"/>
    <col min="67" max="67" width="5.7109375" style="80" customWidth="1"/>
    <col min="68" max="68" width="7.5703125" style="80" customWidth="1"/>
    <col min="69" max="70" width="5.5703125" style="80" customWidth="1"/>
    <col min="71" max="71" width="12.85546875" style="80" customWidth="1"/>
    <col min="72" max="73" width="5.42578125" style="390" customWidth="1"/>
    <col min="74" max="74" width="13.5703125" style="80" customWidth="1"/>
    <col min="75" max="75" width="48.85546875" style="80" customWidth="1"/>
    <col min="76" max="76" width="7" style="124" customWidth="1"/>
    <col min="77" max="77" width="16" style="124" customWidth="1"/>
    <col min="78" max="78" width="11.42578125" style="124"/>
    <col min="79" max="79" width="13" style="124" customWidth="1"/>
    <col min="80" max="80" width="29.85546875" style="641" customWidth="1"/>
    <col min="81" max="81" width="24.85546875" style="393" customWidth="1"/>
    <col min="82" max="82" width="11.42578125" style="352"/>
    <col min="83" max="16384" width="11.42578125" style="80"/>
  </cols>
  <sheetData>
    <row r="1" spans="1:85" ht="17.25" customHeight="1" thickBot="1" x14ac:dyDescent="0.3">
      <c r="A1" s="269"/>
      <c r="B1" s="270" t="s">
        <v>234</v>
      </c>
      <c r="C1" s="1350" t="s">
        <v>1301</v>
      </c>
      <c r="D1" s="1351"/>
      <c r="E1" s="448"/>
      <c r="F1" s="485" t="s">
        <v>235</v>
      </c>
      <c r="G1" s="372">
        <v>2022</v>
      </c>
      <c r="H1" s="448"/>
      <c r="I1" s="1352" t="s">
        <v>34</v>
      </c>
      <c r="J1" s="1353"/>
      <c r="K1" s="448"/>
      <c r="L1" s="1291" t="s">
        <v>1075</v>
      </c>
      <c r="M1" s="1292"/>
      <c r="N1" s="1292"/>
      <c r="O1" s="1292"/>
      <c r="P1" s="1292"/>
      <c r="Q1" s="448"/>
      <c r="R1" s="477"/>
      <c r="S1" s="477"/>
      <c r="T1" s="448"/>
      <c r="BH1" s="400"/>
      <c r="BI1" s="400"/>
      <c r="BJ1" s="400"/>
      <c r="BK1" s="400"/>
      <c r="BL1" s="400"/>
      <c r="BM1" s="400"/>
      <c r="BN1" s="400"/>
      <c r="BO1" s="400"/>
      <c r="BP1" s="400"/>
      <c r="BQ1" s="400"/>
      <c r="BW1" s="519" t="s">
        <v>237</v>
      </c>
      <c r="BX1" s="519" t="s">
        <v>33</v>
      </c>
      <c r="BY1" s="519" t="s">
        <v>226</v>
      </c>
      <c r="BZ1" s="60" t="s">
        <v>227</v>
      </c>
      <c r="CA1" s="60" t="s">
        <v>228</v>
      </c>
      <c r="CB1" s="517" t="s">
        <v>329</v>
      </c>
      <c r="CC1" s="393" t="s">
        <v>768</v>
      </c>
      <c r="CD1" s="640" t="s">
        <v>771</v>
      </c>
    </row>
    <row r="2" spans="1:85" ht="19.5" customHeight="1" x14ac:dyDescent="0.25">
      <c r="A2" s="271"/>
      <c r="B2" s="41" t="s">
        <v>236</v>
      </c>
      <c r="C2" s="1354">
        <v>1</v>
      </c>
      <c r="D2" s="1355"/>
      <c r="E2" s="1359" t="s">
        <v>1072</v>
      </c>
      <c r="F2" s="1360"/>
      <c r="G2" s="1360"/>
      <c r="I2" s="1356" t="s">
        <v>36</v>
      </c>
      <c r="J2" s="1336"/>
      <c r="L2" s="1293"/>
      <c r="M2" s="1293"/>
      <c r="N2" s="1293"/>
      <c r="O2" s="1293"/>
      <c r="P2" s="1293"/>
      <c r="Q2" s="80"/>
      <c r="R2" s="474"/>
      <c r="S2" s="474"/>
      <c r="BG2" s="1286" t="s">
        <v>1169</v>
      </c>
      <c r="BH2" s="1286"/>
      <c r="BI2" s="1286"/>
      <c r="BJ2" s="1286"/>
      <c r="BK2" s="1286"/>
      <c r="BL2" s="1286"/>
      <c r="BM2" s="1286"/>
      <c r="BN2" s="1286"/>
      <c r="BO2" s="1286"/>
      <c r="BP2" s="1286"/>
      <c r="BQ2" s="1286"/>
      <c r="BW2" s="129" t="s">
        <v>774</v>
      </c>
      <c r="BX2" s="519"/>
      <c r="BY2" s="519"/>
      <c r="BZ2" s="60"/>
      <c r="CA2" s="60"/>
    </row>
    <row r="3" spans="1:85" ht="15" customHeight="1" thickBot="1" x14ac:dyDescent="0.3">
      <c r="A3" s="271"/>
      <c r="B3" s="41" t="s">
        <v>251</v>
      </c>
      <c r="C3" s="1357">
        <v>123456</v>
      </c>
      <c r="D3" s="1358"/>
      <c r="E3" s="1361"/>
      <c r="F3" s="1362"/>
      <c r="G3" s="1362"/>
      <c r="J3" s="400"/>
      <c r="K3" s="657"/>
      <c r="L3" s="1294"/>
      <c r="M3" s="1294"/>
      <c r="N3" s="1294"/>
      <c r="O3" s="1294"/>
      <c r="P3" s="1294"/>
      <c r="Q3" s="80"/>
      <c r="R3" s="474"/>
      <c r="S3" s="474"/>
      <c r="AE3" s="15"/>
      <c r="AF3" s="400"/>
      <c r="AG3" s="400"/>
      <c r="AH3" s="400"/>
      <c r="AI3" s="400"/>
      <c r="AJ3" s="400"/>
      <c r="AK3" s="400"/>
      <c r="AL3" s="400"/>
      <c r="AM3" s="400"/>
      <c r="AN3" s="400"/>
      <c r="AP3" s="400"/>
      <c r="AQ3" s="400"/>
      <c r="AR3" s="400"/>
      <c r="AS3" s="400"/>
      <c r="AT3" s="400"/>
      <c r="AU3" s="400"/>
      <c r="AV3" s="400"/>
      <c r="AW3" s="400"/>
      <c r="AX3" s="400"/>
      <c r="AY3" s="400"/>
      <c r="AZ3" s="400"/>
      <c r="BA3" s="400"/>
      <c r="BB3" s="400"/>
      <c r="BC3" s="400"/>
      <c r="BD3" s="400"/>
      <c r="BE3" s="400"/>
      <c r="BF3" s="400"/>
      <c r="BG3" s="1286"/>
      <c r="BH3" s="1286"/>
      <c r="BI3" s="1286"/>
      <c r="BJ3" s="1286"/>
      <c r="BK3" s="1286"/>
      <c r="BL3" s="1286"/>
      <c r="BM3" s="1286"/>
      <c r="BN3" s="1286"/>
      <c r="BO3" s="1286"/>
      <c r="BP3" s="1286"/>
      <c r="BQ3" s="1286"/>
      <c r="BW3" s="123" t="s">
        <v>31</v>
      </c>
      <c r="BX3" s="123">
        <v>0</v>
      </c>
      <c r="BY3" s="123">
        <v>0</v>
      </c>
      <c r="BZ3" s="124">
        <v>0</v>
      </c>
      <c r="CA3" s="124">
        <v>0</v>
      </c>
      <c r="CB3" s="641">
        <v>0</v>
      </c>
      <c r="CC3" s="393">
        <v>0</v>
      </c>
      <c r="CD3" s="352">
        <f>BX3*CC3</f>
        <v>0</v>
      </c>
    </row>
    <row r="4" spans="1:85" ht="35.25" customHeight="1" x14ac:dyDescent="0.25">
      <c r="A4" s="1305" t="s">
        <v>1100</v>
      </c>
      <c r="B4" s="1306"/>
      <c r="C4" s="1306"/>
      <c r="D4" s="1306"/>
      <c r="E4" s="1306"/>
      <c r="F4" s="1306"/>
      <c r="G4" s="1306"/>
      <c r="H4" s="1306"/>
      <c r="I4" s="1306"/>
      <c r="J4" s="1306"/>
      <c r="K4" s="1306"/>
      <c r="L4" s="1306"/>
      <c r="M4" s="1306"/>
      <c r="N4" s="1306"/>
      <c r="O4" s="1306"/>
      <c r="P4" s="1306"/>
      <c r="Q4" s="1306"/>
      <c r="R4" s="1306"/>
      <c r="S4" s="1306"/>
      <c r="T4" s="1307"/>
      <c r="V4" s="1280" t="s">
        <v>1164</v>
      </c>
      <c r="W4" s="1281"/>
      <c r="X4" s="1281"/>
      <c r="Y4" s="1281"/>
      <c r="Z4" s="1281"/>
      <c r="AA4" s="1281"/>
      <c r="AB4" s="1281"/>
      <c r="AC4" s="1281"/>
      <c r="AD4" s="1281"/>
      <c r="AE4" s="1281"/>
      <c r="AF4" s="1281"/>
      <c r="AG4" s="1281"/>
      <c r="AH4" s="1281"/>
      <c r="AI4" s="1281"/>
      <c r="AJ4" s="1281"/>
      <c r="AK4" s="1281"/>
      <c r="AL4" s="1281"/>
      <c r="AM4" s="1281"/>
      <c r="AN4" s="1281"/>
      <c r="AO4" s="1281"/>
      <c r="AP4" s="1281"/>
      <c r="AQ4" s="1281"/>
      <c r="AR4" s="1281"/>
      <c r="AS4" s="1281"/>
      <c r="AT4" s="1281"/>
      <c r="AU4" s="1281"/>
      <c r="AV4" s="1281"/>
      <c r="AW4" s="1281"/>
      <c r="AX4" s="1281"/>
      <c r="AY4" s="1281"/>
      <c r="AZ4" s="1281"/>
      <c r="BA4" s="1281"/>
      <c r="BB4" s="1281"/>
      <c r="BC4" s="1281"/>
      <c r="BD4" s="1281"/>
      <c r="BE4" s="1281"/>
      <c r="BG4" s="1286"/>
      <c r="BH4" s="1286"/>
      <c r="BI4" s="1286"/>
      <c r="BJ4" s="1286"/>
      <c r="BK4" s="1286"/>
      <c r="BL4" s="1286"/>
      <c r="BM4" s="1286"/>
      <c r="BN4" s="1286"/>
      <c r="BO4" s="1286"/>
      <c r="BP4" s="1286"/>
      <c r="BQ4" s="1286"/>
      <c r="BW4" s="240" t="s">
        <v>244</v>
      </c>
      <c r="BX4" s="240">
        <v>20</v>
      </c>
      <c r="BY4" s="240">
        <v>80</v>
      </c>
      <c r="BZ4" s="240">
        <v>1</v>
      </c>
      <c r="CA4" s="240">
        <v>1.5</v>
      </c>
      <c r="CB4" s="641">
        <v>60</v>
      </c>
      <c r="CC4" s="393">
        <v>2</v>
      </c>
      <c r="CD4" s="352">
        <f t="shared" ref="CD4:CD43" si="0">BX4*CC4</f>
        <v>40</v>
      </c>
    </row>
    <row r="5" spans="1:85" ht="17.25" customHeight="1" thickBot="1" x14ac:dyDescent="0.3">
      <c r="A5" s="1308" t="s">
        <v>1165</v>
      </c>
      <c r="B5" s="1294"/>
      <c r="C5" s="1294"/>
      <c r="D5" s="1294"/>
      <c r="E5" s="1294"/>
      <c r="F5" s="1294"/>
      <c r="G5" s="1294"/>
      <c r="H5" s="1294"/>
      <c r="I5" s="1294"/>
      <c r="J5" s="1294"/>
      <c r="K5" s="1294"/>
      <c r="L5" s="1293"/>
      <c r="M5" s="1293"/>
      <c r="N5" s="1294"/>
      <c r="O5" s="1294"/>
      <c r="P5" s="1294"/>
      <c r="Q5" s="1294"/>
      <c r="R5" s="1294"/>
      <c r="S5" s="1294"/>
      <c r="T5" s="1309"/>
      <c r="V5" s="1288" t="s">
        <v>1033</v>
      </c>
      <c r="W5" s="1286"/>
      <c r="X5" s="1286"/>
      <c r="Y5" s="1286"/>
      <c r="Z5" s="1286"/>
      <c r="AA5" s="1286"/>
      <c r="AB5" s="1286"/>
      <c r="AC5" s="1286"/>
      <c r="AD5" s="1286"/>
      <c r="AE5" s="1286"/>
      <c r="AF5" s="1286"/>
      <c r="AG5" s="1286"/>
      <c r="AH5" s="1286"/>
      <c r="AI5" s="1286"/>
      <c r="AJ5" s="1286"/>
      <c r="AK5" s="1286"/>
      <c r="AL5" s="1286"/>
      <c r="AM5" s="1286"/>
      <c r="AN5" s="1286"/>
      <c r="AO5" s="1286"/>
      <c r="AP5" s="1286"/>
      <c r="AQ5" s="1286"/>
      <c r="AR5" s="1286"/>
      <c r="AS5" s="1286"/>
      <c r="AT5" s="1286"/>
      <c r="AU5" s="1286"/>
      <c r="AV5" s="1286"/>
      <c r="AW5" s="1286"/>
      <c r="AX5" s="1286"/>
      <c r="AY5" s="1286"/>
      <c r="AZ5" s="1286"/>
      <c r="BA5" s="1286"/>
      <c r="BB5" s="1286"/>
      <c r="BC5" s="1286"/>
      <c r="BD5" s="1286"/>
      <c r="BE5" s="1286"/>
      <c r="BG5" s="1289" t="s">
        <v>1081</v>
      </c>
      <c r="BH5" s="1289"/>
      <c r="BI5" s="1289"/>
      <c r="BJ5" s="1289"/>
      <c r="BK5" s="1289"/>
      <c r="BL5" s="393"/>
      <c r="BM5" s="1277" t="s">
        <v>1092</v>
      </c>
      <c r="BN5" s="1278"/>
      <c r="BO5" s="1278"/>
      <c r="BP5" s="1278"/>
      <c r="BQ5" s="1278"/>
      <c r="BR5" s="776"/>
      <c r="BW5" s="580" t="s">
        <v>604</v>
      </c>
      <c r="BX5" s="580">
        <v>120</v>
      </c>
      <c r="BY5" s="580">
        <v>200</v>
      </c>
      <c r="BZ5" s="580">
        <v>0.5</v>
      </c>
      <c r="CA5" s="580">
        <v>0.75</v>
      </c>
      <c r="CB5" s="641">
        <v>90</v>
      </c>
      <c r="CC5" s="393">
        <v>0.5</v>
      </c>
      <c r="CD5" s="352">
        <f t="shared" si="0"/>
        <v>60</v>
      </c>
    </row>
    <row r="6" spans="1:85" ht="35.25" customHeight="1" x14ac:dyDescent="0.25">
      <c r="A6" s="1363" t="s">
        <v>1091</v>
      </c>
      <c r="B6" s="1365" t="s">
        <v>570</v>
      </c>
      <c r="C6" s="1303" t="s">
        <v>306</v>
      </c>
      <c r="D6" s="1366" t="s">
        <v>301</v>
      </c>
      <c r="E6" s="1367"/>
      <c r="F6" s="1368" t="s">
        <v>302</v>
      </c>
      <c r="G6" s="1369"/>
      <c r="H6" s="1295" t="s">
        <v>6</v>
      </c>
      <c r="I6" s="1282" t="s">
        <v>163</v>
      </c>
      <c r="J6" s="1295" t="s">
        <v>8</v>
      </c>
      <c r="K6" s="1297" t="s">
        <v>163</v>
      </c>
      <c r="L6" s="1299" t="s">
        <v>541</v>
      </c>
      <c r="M6" s="1301" t="s">
        <v>229</v>
      </c>
      <c r="N6" s="1303" t="s">
        <v>262</v>
      </c>
      <c r="O6" s="1282" t="s">
        <v>163</v>
      </c>
      <c r="P6" s="1284" t="s">
        <v>1071</v>
      </c>
      <c r="Q6" s="1316" t="s">
        <v>1028</v>
      </c>
      <c r="R6" s="1317"/>
      <c r="S6" s="1314" t="s">
        <v>1150</v>
      </c>
      <c r="T6" s="1315"/>
      <c r="V6" s="1318" t="s">
        <v>1152</v>
      </c>
      <c r="W6" s="1287" t="s">
        <v>631</v>
      </c>
      <c r="X6" s="1312" t="s">
        <v>1102</v>
      </c>
      <c r="Y6" s="1313"/>
      <c r="Z6" s="1313"/>
      <c r="AA6" s="1313"/>
      <c r="AB6" s="1313"/>
      <c r="AC6" s="1313"/>
      <c r="AE6" s="1312" t="s">
        <v>851</v>
      </c>
      <c r="AF6" s="1313"/>
      <c r="AG6" s="1313"/>
      <c r="AH6" s="1313"/>
      <c r="AI6" s="1313"/>
      <c r="AJ6" s="1313"/>
      <c r="AL6" s="1312" t="s">
        <v>852</v>
      </c>
      <c r="AM6" s="1313"/>
      <c r="AN6" s="1313"/>
      <c r="AO6" s="1313"/>
      <c r="AP6" s="1313"/>
      <c r="AQ6" s="1313"/>
      <c r="AR6" s="112"/>
      <c r="AS6" s="1312" t="s">
        <v>853</v>
      </c>
      <c r="AT6" s="1313"/>
      <c r="AU6" s="1313"/>
      <c r="AV6" s="1313"/>
      <c r="AW6" s="1313"/>
      <c r="AX6" s="1313"/>
      <c r="AY6" s="21"/>
      <c r="AZ6" s="1312" t="s">
        <v>854</v>
      </c>
      <c r="BA6" s="1313"/>
      <c r="BB6" s="1313"/>
      <c r="BC6" s="1313"/>
      <c r="BD6" s="1313"/>
      <c r="BE6" s="1313"/>
      <c r="BG6" s="1290"/>
      <c r="BH6" s="1290"/>
      <c r="BI6" s="1290"/>
      <c r="BJ6" s="1290"/>
      <c r="BK6" s="1290"/>
      <c r="BL6" s="393"/>
      <c r="BM6" s="1279"/>
      <c r="BN6" s="1279"/>
      <c r="BO6" s="1279"/>
      <c r="BP6" s="1279"/>
      <c r="BQ6" s="1279"/>
      <c r="BR6" s="776"/>
      <c r="BW6" s="580" t="s">
        <v>759</v>
      </c>
      <c r="BX6" s="580">
        <v>60</v>
      </c>
      <c r="BY6" s="580">
        <v>200</v>
      </c>
      <c r="BZ6" s="580">
        <v>1</v>
      </c>
      <c r="CA6" s="580">
        <v>1.5</v>
      </c>
      <c r="CB6" s="641">
        <v>90</v>
      </c>
      <c r="CC6" s="393">
        <v>0.8</v>
      </c>
      <c r="CD6" s="352">
        <f t="shared" si="0"/>
        <v>48</v>
      </c>
    </row>
    <row r="7" spans="1:85" ht="66" customHeight="1" thickBot="1" x14ac:dyDescent="0.3">
      <c r="A7" s="1364"/>
      <c r="B7" s="1365"/>
      <c r="C7" s="1303"/>
      <c r="D7" s="404" t="s">
        <v>33</v>
      </c>
      <c r="E7" s="405" t="s">
        <v>303</v>
      </c>
      <c r="F7" s="658" t="s">
        <v>603</v>
      </c>
      <c r="G7" s="405" t="s">
        <v>304</v>
      </c>
      <c r="H7" s="1296"/>
      <c r="I7" s="1283"/>
      <c r="J7" s="1296"/>
      <c r="K7" s="1298"/>
      <c r="L7" s="1300"/>
      <c r="M7" s="1302"/>
      <c r="N7" s="1304"/>
      <c r="O7" s="1283"/>
      <c r="P7" s="1285"/>
      <c r="Q7" s="501" t="s">
        <v>328</v>
      </c>
      <c r="R7" s="483" t="s">
        <v>803</v>
      </c>
      <c r="S7" s="484" t="s">
        <v>605</v>
      </c>
      <c r="T7" s="483" t="s">
        <v>804</v>
      </c>
      <c r="U7" s="124"/>
      <c r="V7" s="1319"/>
      <c r="W7" s="1281"/>
      <c r="X7" s="745" t="s">
        <v>850</v>
      </c>
      <c r="Y7" s="744" t="s">
        <v>830</v>
      </c>
      <c r="Z7" s="681" t="s">
        <v>33</v>
      </c>
      <c r="AA7" s="312" t="s">
        <v>1078</v>
      </c>
      <c r="AB7" s="681" t="s">
        <v>1079</v>
      </c>
      <c r="AC7" s="312" t="s">
        <v>1080</v>
      </c>
      <c r="AE7" s="745" t="s">
        <v>850</v>
      </c>
      <c r="AF7" s="744" t="s">
        <v>830</v>
      </c>
      <c r="AG7" s="681" t="s">
        <v>33</v>
      </c>
      <c r="AH7" s="312" t="s">
        <v>1078</v>
      </c>
      <c r="AI7" s="681" t="s">
        <v>1079</v>
      </c>
      <c r="AJ7" s="312" t="s">
        <v>1080</v>
      </c>
      <c r="AK7" s="124"/>
      <c r="AL7" s="745" t="s">
        <v>850</v>
      </c>
      <c r="AM7" s="744" t="s">
        <v>830</v>
      </c>
      <c r="AN7" s="681" t="s">
        <v>33</v>
      </c>
      <c r="AO7" s="312" t="s">
        <v>1078</v>
      </c>
      <c r="AP7" s="681" t="s">
        <v>1079</v>
      </c>
      <c r="AQ7" s="312" t="s">
        <v>1080</v>
      </c>
      <c r="AR7" s="124"/>
      <c r="AS7" s="745" t="s">
        <v>850</v>
      </c>
      <c r="AT7" s="744" t="s">
        <v>830</v>
      </c>
      <c r="AU7" s="681" t="s">
        <v>33</v>
      </c>
      <c r="AV7" s="312" t="s">
        <v>1078</v>
      </c>
      <c r="AW7" s="681" t="s">
        <v>1079</v>
      </c>
      <c r="AX7" s="312" t="s">
        <v>1080</v>
      </c>
      <c r="AY7" s="124"/>
      <c r="AZ7" s="745" t="s">
        <v>850</v>
      </c>
      <c r="BA7" s="744" t="s">
        <v>830</v>
      </c>
      <c r="BB7" s="681" t="s">
        <v>33</v>
      </c>
      <c r="BC7" s="312" t="s">
        <v>1078</v>
      </c>
      <c r="BD7" s="681" t="s">
        <v>1079</v>
      </c>
      <c r="BE7" s="312" t="s">
        <v>1080</v>
      </c>
      <c r="BF7" s="60"/>
      <c r="BG7" s="775" t="s">
        <v>1096</v>
      </c>
      <c r="BH7" s="312" t="s">
        <v>1082</v>
      </c>
      <c r="BI7" s="312" t="s">
        <v>1083</v>
      </c>
      <c r="BJ7" s="699" t="s">
        <v>1268</v>
      </c>
      <c r="BK7" s="312" t="s">
        <v>290</v>
      </c>
      <c r="BL7" s="519"/>
      <c r="BM7" s="780" t="s">
        <v>1096</v>
      </c>
      <c r="BN7" s="312" t="s">
        <v>1082</v>
      </c>
      <c r="BO7" s="781" t="s">
        <v>1098</v>
      </c>
      <c r="BP7" s="699" t="s">
        <v>1268</v>
      </c>
      <c r="BQ7" s="312" t="s">
        <v>290</v>
      </c>
      <c r="BR7" s="519"/>
      <c r="BS7" s="124"/>
      <c r="BT7" s="392" t="s">
        <v>231</v>
      </c>
      <c r="BU7" s="392" t="s">
        <v>232</v>
      </c>
      <c r="BW7" s="393" t="s">
        <v>549</v>
      </c>
      <c r="BX7" s="393">
        <v>55</v>
      </c>
      <c r="BY7" s="393">
        <v>200</v>
      </c>
      <c r="BZ7" s="393">
        <v>1</v>
      </c>
      <c r="CA7" s="393">
        <v>1.5</v>
      </c>
      <c r="CB7" s="641">
        <v>60</v>
      </c>
      <c r="CC7" s="393">
        <v>0.8</v>
      </c>
      <c r="CD7" s="352">
        <f t="shared" si="0"/>
        <v>44</v>
      </c>
      <c r="CE7" s="9"/>
      <c r="CF7" s="32"/>
    </row>
    <row r="8" spans="1:85" s="124" customFormat="1" ht="26.25" customHeight="1" thickBot="1" x14ac:dyDescent="0.3">
      <c r="A8" s="379" t="s">
        <v>1302</v>
      </c>
      <c r="B8" s="1214">
        <v>10</v>
      </c>
      <c r="C8" s="599" t="s">
        <v>222</v>
      </c>
      <c r="D8" s="406">
        <f t="shared" ref="D8:D30" si="1">VLOOKUP(C8,BW$3:CA$61,2,FALSE)</f>
        <v>80</v>
      </c>
      <c r="E8" s="426">
        <f t="shared" ref="E8:E31" si="2">VLOOKUP(C8,BW$3:CA$61,3,FALSE)</f>
        <v>230</v>
      </c>
      <c r="F8" s="1205">
        <v>70</v>
      </c>
      <c r="G8" s="412">
        <f t="shared" ref="G8:G31" si="3">IF(F8&lt;=D8,E8-(D8-F8)*BU8,E8+(F8-D8)*BT8)</f>
        <v>215</v>
      </c>
      <c r="H8" s="604" t="s">
        <v>22</v>
      </c>
      <c r="I8" s="426">
        <f t="shared" ref="I8:I31" si="4">VLOOKUP(H8,BW$65:BX$75,2,FALSE)</f>
        <v>10</v>
      </c>
      <c r="J8" s="429" t="s">
        <v>31</v>
      </c>
      <c r="K8" s="605">
        <f t="shared" ref="K8:K31" si="5">VLOOKUP(J8,BW$78:BX$87,2,FALSE)</f>
        <v>0</v>
      </c>
      <c r="L8" s="406">
        <f t="shared" ref="L8:L31" si="6">VLOOKUP(C8,BW$3:CB$61,6,FALSE)</f>
        <v>90</v>
      </c>
      <c r="M8" s="1208">
        <v>35</v>
      </c>
      <c r="N8" s="453" t="s">
        <v>160</v>
      </c>
      <c r="O8" s="426">
        <f t="shared" ref="O8:O31" si="7">VLOOKUP(N8,BW$90:BX$91,2,FALSE)</f>
        <v>0</v>
      </c>
      <c r="P8" s="1211"/>
      <c r="Q8" s="748">
        <f>IF(G8-M8-P8-O8-I8-K8&lt;0,0,G8-M8-P8-O8-I8-K8)</f>
        <v>170</v>
      </c>
      <c r="R8" s="749">
        <f t="shared" ref="R8:R31" si="8">IF(Q8&lt;0,0,Q8*B8)</f>
        <v>1700</v>
      </c>
      <c r="S8" s="750">
        <f t="shared" ref="S8:S30" si="9">F8*VLOOKUP(C8,BW$3:CC$61,7,FALSE)</f>
        <v>56</v>
      </c>
      <c r="T8" s="434">
        <f>IF(S8&lt;0,0,S8*B8)</f>
        <v>560</v>
      </c>
      <c r="U8" s="80"/>
      <c r="V8" s="852" t="str">
        <f>A8</f>
        <v>Rapsweizen</v>
      </c>
      <c r="W8" s="852" t="str">
        <f>C8</f>
        <v>Winterweizen A,B</v>
      </c>
      <c r="X8" s="886">
        <v>44621</v>
      </c>
      <c r="Y8" s="887" t="s">
        <v>841</v>
      </c>
      <c r="Z8" s="906">
        <v>2</v>
      </c>
      <c r="AA8" s="687">
        <f>VLOOKUP(Y8,Düngemittel!$B$6:$E$64,2,FALSE)*(VLOOKUP(Y8,Düngemittel!$B$6:$E$64,3,FALSE))/100*Z8</f>
        <v>54</v>
      </c>
      <c r="AB8" s="687">
        <f>VLOOKUP(Y8,Düngemittel!$B$6:$E$64,2,FALSE)*Z8</f>
        <v>54</v>
      </c>
      <c r="AC8" s="687">
        <f>VLOOKUP(Y8,Düngemittel!$B$6:$E$64,4,FALSE)*Z8</f>
        <v>0</v>
      </c>
      <c r="AD8" s="80"/>
      <c r="AE8" s="886">
        <v>44650</v>
      </c>
      <c r="AF8" s="887" t="s">
        <v>842</v>
      </c>
      <c r="AG8" s="906">
        <v>2.2000000000000002</v>
      </c>
      <c r="AH8" s="687">
        <f>VLOOKUP(AF8,Düngemittel!$B$6:$E$64,2,FALSE)*(VLOOKUP(AF8,Düngemittel!$B$6:$E$64,3,FALSE))/100*AG8</f>
        <v>57.2</v>
      </c>
      <c r="AI8" s="687">
        <f>VLOOKUP(AF8,Düngemittel!$B$6:$E$64,2,FALSE)*AG8</f>
        <v>57.2</v>
      </c>
      <c r="AJ8" s="687">
        <f>VLOOKUP(AF8,Düngemittel!$B$6:$E$64,4,FALSE)*AG8</f>
        <v>0</v>
      </c>
      <c r="AK8" s="80"/>
      <c r="AL8" s="886">
        <v>44671</v>
      </c>
      <c r="AM8" s="887" t="s">
        <v>841</v>
      </c>
      <c r="AN8" s="906">
        <v>2.1</v>
      </c>
      <c r="AO8" s="687">
        <f>VLOOKUP(AM8,Düngemittel!$B$6:$E$64,2,FALSE)*(VLOOKUP(AM8,Düngemittel!$B$6:$E$64,3,FALSE))/100*AN8</f>
        <v>56.7</v>
      </c>
      <c r="AP8" s="687">
        <f>VLOOKUP(AM8,Düngemittel!$B$6:$E$64,2,FALSE)*AN8</f>
        <v>56.7</v>
      </c>
      <c r="AQ8" s="687">
        <f>VLOOKUP(AM8,Düngemittel!$B$6:$E$64,4,FALSE)*AN8</f>
        <v>0</v>
      </c>
      <c r="AR8" s="80"/>
      <c r="AS8" s="886"/>
      <c r="AT8" s="887" t="s">
        <v>805</v>
      </c>
      <c r="AU8" s="906">
        <v>0</v>
      </c>
      <c r="AV8" s="687">
        <f>VLOOKUP(AT8,Düngemittel!$B$6:$E$64,2,FALSE)*(VLOOKUP(AT8,Düngemittel!$B$6:$E$64,3,FALSE))/100*AU8</f>
        <v>0</v>
      </c>
      <c r="AW8" s="687">
        <f>VLOOKUP(AT8,Düngemittel!$B$6:$E$64,2,FALSE)*AU8</f>
        <v>0</v>
      </c>
      <c r="AX8" s="687">
        <f>VLOOKUP(AT8,Düngemittel!$B$6:$E$64,4,FALSE)*AU8</f>
        <v>0</v>
      </c>
      <c r="AY8" s="80"/>
      <c r="AZ8" s="886"/>
      <c r="BA8" s="887" t="s">
        <v>805</v>
      </c>
      <c r="BB8" s="906">
        <v>0</v>
      </c>
      <c r="BC8" s="687">
        <f>VLOOKUP(BA8,Düngemittel!$B$6:$E$64,2,FALSE)*(VLOOKUP(BA8,Düngemittel!$B$6:$E$64,3,FALSE))/100*BB8</f>
        <v>0</v>
      </c>
      <c r="BD8" s="687">
        <f>VLOOKUP(BA8,Düngemittel!$B$6:$E$64,2,FALSE)*BB8</f>
        <v>0</v>
      </c>
      <c r="BE8" s="687">
        <f>VLOOKUP(BA8,Düngemittel!$B$6:$E$64,4,FALSE)*BB8</f>
        <v>0</v>
      </c>
      <c r="BF8" s="80"/>
      <c r="BG8" s="853">
        <f>IF(AA8&lt;AB8,0,AA8)+IF(AH8&lt;AI8,0,AH8)+IF(AO8&lt;AP8,0,AO8)+IF(AV8&lt;AW8,0,AV8)+IF(BC8&lt;BD8,0,BC8)</f>
        <v>167.9</v>
      </c>
      <c r="BH8" s="308">
        <f>(AA8+AH8+AO8+AV8+BC8)</f>
        <v>167.9</v>
      </c>
      <c r="BI8" s="853">
        <f>(AB8+AI8+AP8+AW8+BD8)</f>
        <v>167.9</v>
      </c>
      <c r="BJ8" s="777">
        <f>IF(AA8&lt;AB8,AB8,0)+IF(AH8&lt;AI8,AI8,0)+IF(AO8&lt;AP8,AP8,0)+IF(AV8&lt;AW8,AW8,0)+IF(BC8&lt;BD8,BD8,0)</f>
        <v>0</v>
      </c>
      <c r="BK8" s="308">
        <f>(AC8+AJ8+AQ8+AX8+BE8)</f>
        <v>0</v>
      </c>
      <c r="BL8" s="83"/>
      <c r="BM8" s="686">
        <f>BG8*$B8</f>
        <v>1679</v>
      </c>
      <c r="BN8" s="686">
        <f t="shared" ref="BN8:BQ8" si="10">BH8*$B8</f>
        <v>1679</v>
      </c>
      <c r="BO8" s="686">
        <f t="shared" si="10"/>
        <v>1679</v>
      </c>
      <c r="BP8" s="686">
        <f t="shared" si="10"/>
        <v>0</v>
      </c>
      <c r="BQ8" s="686">
        <f t="shared" si="10"/>
        <v>0</v>
      </c>
      <c r="BR8" s="80"/>
      <c r="BS8" s="80"/>
      <c r="BT8" s="351">
        <f t="shared" ref="BT8:BT31" si="11">VLOOKUP(C8,BW$3:CB$61,4,FALSE)</f>
        <v>1</v>
      </c>
      <c r="BU8" s="351">
        <f t="shared" ref="BU8:BU31" si="12">VLOOKUP(C8,BW$3:CB$61,5,FALSE)</f>
        <v>1.5</v>
      </c>
      <c r="BV8" s="123"/>
      <c r="BW8" s="240" t="s">
        <v>760</v>
      </c>
      <c r="BX8" s="240">
        <v>40</v>
      </c>
      <c r="BY8" s="597">
        <v>115</v>
      </c>
      <c r="BZ8" s="240">
        <v>1</v>
      </c>
      <c r="CA8" s="240">
        <v>1.5</v>
      </c>
      <c r="CB8" s="641">
        <v>90</v>
      </c>
      <c r="CC8" s="393">
        <v>0.8</v>
      </c>
      <c r="CD8" s="352">
        <f t="shared" si="0"/>
        <v>32</v>
      </c>
      <c r="CE8" s="32"/>
      <c r="CF8" s="3"/>
      <c r="CG8" s="80"/>
    </row>
    <row r="9" spans="1:85" ht="26.25" customHeight="1" x14ac:dyDescent="0.25">
      <c r="A9" s="342" t="s">
        <v>1303</v>
      </c>
      <c r="B9" s="1215">
        <v>10</v>
      </c>
      <c r="C9" s="599" t="s">
        <v>222</v>
      </c>
      <c r="D9" s="408">
        <f t="shared" si="1"/>
        <v>80</v>
      </c>
      <c r="E9" s="427">
        <f t="shared" si="2"/>
        <v>230</v>
      </c>
      <c r="F9" s="1206">
        <v>70</v>
      </c>
      <c r="G9" s="413">
        <f t="shared" si="3"/>
        <v>215</v>
      </c>
      <c r="H9" s="602" t="s">
        <v>510</v>
      </c>
      <c r="I9" s="427">
        <f t="shared" si="4"/>
        <v>0</v>
      </c>
      <c r="J9" s="430" t="s">
        <v>31</v>
      </c>
      <c r="K9" s="606">
        <f t="shared" si="5"/>
        <v>0</v>
      </c>
      <c r="L9" s="408">
        <f t="shared" si="6"/>
        <v>90</v>
      </c>
      <c r="M9" s="1209">
        <v>35</v>
      </c>
      <c r="N9" s="450" t="s">
        <v>160</v>
      </c>
      <c r="O9" s="427">
        <f t="shared" si="7"/>
        <v>0</v>
      </c>
      <c r="P9" s="1212">
        <v>18</v>
      </c>
      <c r="Q9" s="747">
        <f t="shared" ref="Q9:Q31" si="13">IF(G9-M9-P9-O9-I9-K9&lt;0,0,G9-M9-P9-O9-I9-K9)</f>
        <v>162</v>
      </c>
      <c r="R9" s="608">
        <f t="shared" si="8"/>
        <v>1620</v>
      </c>
      <c r="S9" s="479">
        <f t="shared" si="9"/>
        <v>56</v>
      </c>
      <c r="T9" s="435">
        <f t="shared" ref="T9:T31" si="14">IF(S9&lt;0,0,S9*B9)</f>
        <v>560</v>
      </c>
      <c r="V9" s="852" t="str">
        <f t="shared" ref="V9:V31" si="15">A9</f>
        <v>Maisweizen</v>
      </c>
      <c r="W9" s="852" t="str">
        <f t="shared" ref="W9:W31" si="16">C9</f>
        <v>Winterweizen A,B</v>
      </c>
      <c r="X9" s="886">
        <v>44621</v>
      </c>
      <c r="Y9" s="887" t="s">
        <v>841</v>
      </c>
      <c r="Z9" s="906">
        <v>2</v>
      </c>
      <c r="AA9" s="687">
        <f>VLOOKUP(Y9,Düngemittel!$B$6:$E$64,2,FALSE)*(VLOOKUP(Y9,Düngemittel!$B$6:$E$64,3,FALSE))/100*Z9</f>
        <v>54</v>
      </c>
      <c r="AB9" s="687">
        <f>VLOOKUP(Y9,Düngemittel!$B$6:$E$64,2,FALSE)*Z9</f>
        <v>54</v>
      </c>
      <c r="AC9" s="687">
        <f>VLOOKUP(Y9,Düngemittel!$B$6:$E$64,4,FALSE)*Z9</f>
        <v>0</v>
      </c>
      <c r="AE9" s="886">
        <v>44650</v>
      </c>
      <c r="AF9" s="887" t="s">
        <v>842</v>
      </c>
      <c r="AG9" s="906">
        <v>2.2000000000000002</v>
      </c>
      <c r="AH9" s="687">
        <f>VLOOKUP(AF9,Düngemittel!$B$6:$E$64,2,FALSE)*(VLOOKUP(AF9,Düngemittel!$B$6:$E$64,3,FALSE))/100*AG9</f>
        <v>57.2</v>
      </c>
      <c r="AI9" s="687">
        <f>VLOOKUP(AF9,Düngemittel!$B$6:$E$64,2,FALSE)*AG9</f>
        <v>57.2</v>
      </c>
      <c r="AJ9" s="687">
        <f>VLOOKUP(AF9,Düngemittel!$B$6:$E$64,4,FALSE)*AG9</f>
        <v>0</v>
      </c>
      <c r="AL9" s="886">
        <v>44671</v>
      </c>
      <c r="AM9" s="887" t="s">
        <v>841</v>
      </c>
      <c r="AN9" s="906">
        <v>1.8</v>
      </c>
      <c r="AO9" s="687">
        <f>VLOOKUP(AM9,Düngemittel!$B$6:$E$64,2,FALSE)*(VLOOKUP(AM9,Düngemittel!$B$6:$E$64,3,FALSE))/100*AN9</f>
        <v>48.6</v>
      </c>
      <c r="AP9" s="687">
        <f>VLOOKUP(AM9,Düngemittel!$B$6:$E$64,2,FALSE)*AN9</f>
        <v>48.6</v>
      </c>
      <c r="AQ9" s="687">
        <f>VLOOKUP(AM9,Düngemittel!$B$6:$E$64,4,FALSE)*AN9</f>
        <v>0</v>
      </c>
      <c r="AS9" s="886"/>
      <c r="AT9" s="887" t="s">
        <v>805</v>
      </c>
      <c r="AU9" s="906">
        <v>0</v>
      </c>
      <c r="AV9" s="687">
        <f>VLOOKUP(AT9,Düngemittel!$B$6:$E$64,2,FALSE)*(VLOOKUP(AT9,Düngemittel!$B$6:$E$64,3,FALSE))/100*AU9</f>
        <v>0</v>
      </c>
      <c r="AW9" s="687">
        <f>VLOOKUP(AT9,Düngemittel!$B$6:$E$64,2,FALSE)*AU9</f>
        <v>0</v>
      </c>
      <c r="AX9" s="687">
        <f>VLOOKUP(AT9,Düngemittel!$B$6:$E$64,4,FALSE)*AU9</f>
        <v>0</v>
      </c>
      <c r="AZ9" s="886"/>
      <c r="BA9" s="887" t="s">
        <v>805</v>
      </c>
      <c r="BB9" s="906">
        <v>0</v>
      </c>
      <c r="BC9" s="687">
        <f>VLOOKUP(BA9,Düngemittel!$B$6:$E$64,2,FALSE)*(VLOOKUP(BA9,Düngemittel!$B$6:$E$64,3,FALSE))/100*BB9</f>
        <v>0</v>
      </c>
      <c r="BD9" s="687">
        <f>VLOOKUP(BA9,Düngemittel!$B$6:$E$64,2,FALSE)*BB9</f>
        <v>0</v>
      </c>
      <c r="BE9" s="687">
        <f>VLOOKUP(BA9,Düngemittel!$B$6:$E$64,4,FALSE)*BB9</f>
        <v>0</v>
      </c>
      <c r="BG9" s="853">
        <f t="shared" ref="BG9:BG31" si="17">IF(AA9&lt;AB9,0,AA9)+IF(AH9&lt;AI9,0,AH9)+IF(AO9&lt;AP9,0,AO9)+IF(AV9&lt;AW9,0,AV9)+IF(BC9&lt;BD9,0,BC9)</f>
        <v>159.80000000000001</v>
      </c>
      <c r="BH9" s="308">
        <f t="shared" ref="BH9:BH31" si="18">(AA9+AH9+AO9+AV9+BC9)</f>
        <v>159.80000000000001</v>
      </c>
      <c r="BI9" s="853">
        <f t="shared" ref="BI9:BI31" si="19">(AB9+AI9+AP9+AW9+BD9)</f>
        <v>159.80000000000001</v>
      </c>
      <c r="BJ9" s="777">
        <f t="shared" ref="BJ9:BJ31" si="20">IF(AA9&lt;AB9,AB9,0)+IF(AH9&lt;AI9,AI9,0)+IF(AO9&lt;AP9,AP9,0)+IF(AV9&lt;AW9,AW9,0)+IF(BC9&lt;BD9,BD9,0)</f>
        <v>0</v>
      </c>
      <c r="BK9" s="308">
        <f t="shared" ref="BK9:BK31" si="21">(AC9+AJ9+AQ9+AX9+BE9)</f>
        <v>0</v>
      </c>
      <c r="BL9" s="83"/>
      <c r="BM9" s="686">
        <f t="shared" ref="BM9:BM31" si="22">BG9*$B9</f>
        <v>1598</v>
      </c>
      <c r="BN9" s="686">
        <f t="shared" ref="BN9:BN31" si="23">BH9*$B9</f>
        <v>1598</v>
      </c>
      <c r="BO9" s="686">
        <f t="shared" ref="BO9:BO31" si="24">BI9*$B9</f>
        <v>1598</v>
      </c>
      <c r="BP9" s="686">
        <f t="shared" ref="BP9:BP31" si="25">BJ9*$B9</f>
        <v>0</v>
      </c>
      <c r="BQ9" s="686">
        <f t="shared" ref="BQ9:BQ31" si="26">BK9*$B9</f>
        <v>0</v>
      </c>
      <c r="BT9" s="351">
        <f t="shared" si="11"/>
        <v>1</v>
      </c>
      <c r="BU9" s="351">
        <f t="shared" si="12"/>
        <v>1.5</v>
      </c>
      <c r="BW9" s="580" t="s">
        <v>764</v>
      </c>
      <c r="BX9" s="580">
        <v>150</v>
      </c>
      <c r="BY9" s="580">
        <v>160</v>
      </c>
      <c r="BZ9" s="580">
        <v>0.2</v>
      </c>
      <c r="CA9" s="580">
        <v>0.3</v>
      </c>
      <c r="CB9" s="641">
        <v>60</v>
      </c>
      <c r="CC9" s="393">
        <v>0.32</v>
      </c>
      <c r="CD9" s="352">
        <f t="shared" si="0"/>
        <v>48</v>
      </c>
      <c r="CE9" s="9"/>
      <c r="CF9" s="3"/>
    </row>
    <row r="10" spans="1:85" ht="26.25" customHeight="1" x14ac:dyDescent="0.25">
      <c r="A10" s="342" t="s">
        <v>113</v>
      </c>
      <c r="B10" s="1215">
        <v>10</v>
      </c>
      <c r="C10" s="600" t="s">
        <v>703</v>
      </c>
      <c r="D10" s="408">
        <f t="shared" si="1"/>
        <v>40</v>
      </c>
      <c r="E10" s="427">
        <f t="shared" si="2"/>
        <v>200</v>
      </c>
      <c r="F10" s="1206">
        <v>40</v>
      </c>
      <c r="G10" s="413">
        <f t="shared" si="3"/>
        <v>200</v>
      </c>
      <c r="H10" s="602" t="s">
        <v>510</v>
      </c>
      <c r="I10" s="427">
        <f t="shared" si="4"/>
        <v>0</v>
      </c>
      <c r="J10" s="430" t="s">
        <v>31</v>
      </c>
      <c r="K10" s="606">
        <f t="shared" si="5"/>
        <v>0</v>
      </c>
      <c r="L10" s="408">
        <f t="shared" si="6"/>
        <v>90</v>
      </c>
      <c r="M10" s="1209">
        <v>35</v>
      </c>
      <c r="N10" s="450" t="s">
        <v>160</v>
      </c>
      <c r="O10" s="427">
        <f t="shared" si="7"/>
        <v>0</v>
      </c>
      <c r="P10" s="1212"/>
      <c r="Q10" s="747">
        <f t="shared" si="13"/>
        <v>165</v>
      </c>
      <c r="R10" s="608">
        <f t="shared" si="8"/>
        <v>1650</v>
      </c>
      <c r="S10" s="479">
        <f t="shared" si="9"/>
        <v>72</v>
      </c>
      <c r="T10" s="435">
        <f t="shared" si="14"/>
        <v>720</v>
      </c>
      <c r="V10" s="852" t="str">
        <f t="shared" si="15"/>
        <v>Raps</v>
      </c>
      <c r="W10" s="852" t="str">
        <f t="shared" si="16"/>
        <v>Winterraps, 91 % TM</v>
      </c>
      <c r="X10" s="886">
        <v>44607</v>
      </c>
      <c r="Y10" s="887" t="s">
        <v>842</v>
      </c>
      <c r="Z10" s="906">
        <v>3</v>
      </c>
      <c r="AA10" s="687">
        <f>VLOOKUP(Y10,Düngemittel!$B$6:$E$64,2,FALSE)*(VLOOKUP(Y10,Düngemittel!$B$6:$E$64,3,FALSE))/100*Z10</f>
        <v>78</v>
      </c>
      <c r="AB10" s="687">
        <f>VLOOKUP(Y10,Düngemittel!$B$6:$E$64,2,FALSE)*Z10</f>
        <v>78</v>
      </c>
      <c r="AC10" s="687">
        <f>VLOOKUP(Y10,Düngemittel!$B$6:$E$64,4,FALSE)*Z10</f>
        <v>0</v>
      </c>
      <c r="AE10" s="886">
        <v>44640</v>
      </c>
      <c r="AF10" s="887" t="s">
        <v>841</v>
      </c>
      <c r="AG10" s="906">
        <v>3</v>
      </c>
      <c r="AH10" s="687">
        <f>VLOOKUP(AF10,Düngemittel!$B$6:$E$64,2,FALSE)*(VLOOKUP(AF10,Düngemittel!$B$6:$E$64,3,FALSE))/100*AG10</f>
        <v>81</v>
      </c>
      <c r="AI10" s="687">
        <f>VLOOKUP(AF10,Düngemittel!$B$6:$E$64,2,FALSE)*AG10</f>
        <v>81</v>
      </c>
      <c r="AJ10" s="687">
        <f>VLOOKUP(AF10,Düngemittel!$B$6:$E$64,4,FALSE)*AG10</f>
        <v>0</v>
      </c>
      <c r="AL10" s="886"/>
      <c r="AM10" s="887" t="s">
        <v>805</v>
      </c>
      <c r="AN10" s="906">
        <v>0</v>
      </c>
      <c r="AO10" s="687">
        <f>VLOOKUP(AM10,Düngemittel!$B$6:$E$64,2,FALSE)*(VLOOKUP(AM10,Düngemittel!$B$6:$E$64,3,FALSE))/100*AN10</f>
        <v>0</v>
      </c>
      <c r="AP10" s="687">
        <f>VLOOKUP(AM10,Düngemittel!$B$6:$E$64,2,FALSE)*AN10</f>
        <v>0</v>
      </c>
      <c r="AQ10" s="687">
        <f>VLOOKUP(AM10,Düngemittel!$B$6:$E$64,4,FALSE)*AN10</f>
        <v>0</v>
      </c>
      <c r="AS10" s="886"/>
      <c r="AT10" s="887" t="s">
        <v>805</v>
      </c>
      <c r="AU10" s="906">
        <v>0</v>
      </c>
      <c r="AV10" s="687">
        <f>VLOOKUP(AT10,Düngemittel!$B$6:$E$64,2,FALSE)*(VLOOKUP(AT10,Düngemittel!$B$6:$E$64,3,FALSE))/100*AU10</f>
        <v>0</v>
      </c>
      <c r="AW10" s="687">
        <f>VLOOKUP(AT10,Düngemittel!$B$6:$E$64,2,FALSE)*AU10</f>
        <v>0</v>
      </c>
      <c r="AX10" s="687">
        <f>VLOOKUP(AT10,Düngemittel!$B$6:$E$64,4,FALSE)*AU10</f>
        <v>0</v>
      </c>
      <c r="AZ10" s="886"/>
      <c r="BA10" s="887" t="s">
        <v>805</v>
      </c>
      <c r="BB10" s="906">
        <v>0</v>
      </c>
      <c r="BC10" s="687">
        <f>VLOOKUP(BA10,Düngemittel!$B$6:$E$64,2,FALSE)*(VLOOKUP(BA10,Düngemittel!$B$6:$E$64,3,FALSE))/100*BB10</f>
        <v>0</v>
      </c>
      <c r="BD10" s="687">
        <f>VLOOKUP(BA10,Düngemittel!$B$6:$E$64,2,FALSE)*BB10</f>
        <v>0</v>
      </c>
      <c r="BE10" s="687">
        <f>VLOOKUP(BA10,Düngemittel!$B$6:$E$64,4,FALSE)*BB10</f>
        <v>0</v>
      </c>
      <c r="BG10" s="853">
        <f t="shared" si="17"/>
        <v>159</v>
      </c>
      <c r="BH10" s="308">
        <f t="shared" si="18"/>
        <v>159</v>
      </c>
      <c r="BI10" s="853">
        <f t="shared" si="19"/>
        <v>159</v>
      </c>
      <c r="BJ10" s="777">
        <f t="shared" si="20"/>
        <v>0</v>
      </c>
      <c r="BK10" s="308">
        <f t="shared" si="21"/>
        <v>0</v>
      </c>
      <c r="BL10" s="83"/>
      <c r="BM10" s="686">
        <f t="shared" si="22"/>
        <v>1590</v>
      </c>
      <c r="BN10" s="686">
        <f t="shared" si="23"/>
        <v>1590</v>
      </c>
      <c r="BO10" s="686">
        <f t="shared" si="24"/>
        <v>1590</v>
      </c>
      <c r="BP10" s="686">
        <f t="shared" si="25"/>
        <v>0</v>
      </c>
      <c r="BQ10" s="686">
        <f t="shared" si="26"/>
        <v>0</v>
      </c>
      <c r="BT10" s="351">
        <f t="shared" si="11"/>
        <v>2</v>
      </c>
      <c r="BU10" s="351">
        <f t="shared" si="12"/>
        <v>3</v>
      </c>
      <c r="BW10" s="580" t="s">
        <v>690</v>
      </c>
      <c r="BX10" s="580">
        <v>80</v>
      </c>
      <c r="BY10" s="580">
        <v>100</v>
      </c>
      <c r="BZ10" s="580">
        <v>1</v>
      </c>
      <c r="CA10" s="580">
        <v>1.5</v>
      </c>
      <c r="CB10" s="641">
        <v>60</v>
      </c>
      <c r="CC10" s="393">
        <v>0.64</v>
      </c>
      <c r="CD10" s="352">
        <f t="shared" si="0"/>
        <v>51.2</v>
      </c>
      <c r="CE10" s="9"/>
      <c r="CF10" s="3"/>
    </row>
    <row r="11" spans="1:85" ht="26.25" customHeight="1" x14ac:dyDescent="0.25">
      <c r="A11" s="342" t="s">
        <v>71</v>
      </c>
      <c r="B11" s="1215">
        <v>10</v>
      </c>
      <c r="C11" s="600" t="s">
        <v>1304</v>
      </c>
      <c r="D11" s="408">
        <f t="shared" si="1"/>
        <v>450</v>
      </c>
      <c r="E11" s="427">
        <f t="shared" si="2"/>
        <v>200</v>
      </c>
      <c r="F11" s="1206">
        <v>400</v>
      </c>
      <c r="G11" s="413">
        <f t="shared" si="3"/>
        <v>185</v>
      </c>
      <c r="H11" s="602" t="s">
        <v>510</v>
      </c>
      <c r="I11" s="427">
        <f t="shared" si="4"/>
        <v>0</v>
      </c>
      <c r="J11" s="430" t="s">
        <v>28</v>
      </c>
      <c r="K11" s="606">
        <f t="shared" si="5"/>
        <v>10</v>
      </c>
      <c r="L11" s="408">
        <f t="shared" si="6"/>
        <v>90</v>
      </c>
      <c r="M11" s="1209">
        <v>40</v>
      </c>
      <c r="N11" s="450" t="s">
        <v>160</v>
      </c>
      <c r="O11" s="427">
        <f t="shared" si="7"/>
        <v>0</v>
      </c>
      <c r="P11" s="1212"/>
      <c r="Q11" s="747">
        <f t="shared" si="13"/>
        <v>135</v>
      </c>
      <c r="R11" s="608">
        <f t="shared" si="8"/>
        <v>1350</v>
      </c>
      <c r="S11" s="479">
        <f t="shared" si="9"/>
        <v>64</v>
      </c>
      <c r="T11" s="435">
        <f t="shared" si="14"/>
        <v>640</v>
      </c>
      <c r="V11" s="852" t="str">
        <f t="shared" si="15"/>
        <v>Silomais</v>
      </c>
      <c r="W11" s="852" t="str">
        <f t="shared" si="16"/>
        <v>Silomais, 28-30 % TM</v>
      </c>
      <c r="X11" s="886">
        <v>44661</v>
      </c>
      <c r="Y11" s="887" t="s">
        <v>1054</v>
      </c>
      <c r="Z11" s="906">
        <v>500</v>
      </c>
      <c r="AA11" s="687">
        <f>VLOOKUP(Y11,Düngemittel!$B$6:$E$64,2,FALSE)*(VLOOKUP(Y11,Düngemittel!$B$6:$E$64,3,FALSE))/100*Z11</f>
        <v>107.99999999999999</v>
      </c>
      <c r="AB11" s="687">
        <f>VLOOKUP(Y11,Düngemittel!$B$6:$E$64,2,FALSE)*Z11</f>
        <v>180</v>
      </c>
      <c r="AC11" s="687">
        <f>VLOOKUP(Y11,Düngemittel!$B$6:$E$64,4,FALSE)*Z11</f>
        <v>75</v>
      </c>
      <c r="AE11" s="886">
        <v>44671</v>
      </c>
      <c r="AF11" s="887" t="s">
        <v>848</v>
      </c>
      <c r="AG11" s="906">
        <v>1</v>
      </c>
      <c r="AH11" s="687">
        <f>VLOOKUP(AF11,Düngemittel!$B$6:$E$64,2,FALSE)*(VLOOKUP(AF11,Düngemittel!$B$6:$E$64,3,FALSE))/100*AG11</f>
        <v>18</v>
      </c>
      <c r="AI11" s="687">
        <f>VLOOKUP(AF11,Düngemittel!$B$6:$E$64,2,FALSE)*AG11</f>
        <v>18</v>
      </c>
      <c r="AJ11" s="687">
        <f>VLOOKUP(AF11,Düngemittel!$B$6:$E$64,4,FALSE)*AG11</f>
        <v>46</v>
      </c>
      <c r="AL11" s="886"/>
      <c r="AM11" s="887" t="s">
        <v>805</v>
      </c>
      <c r="AN11" s="906">
        <v>0</v>
      </c>
      <c r="AO11" s="687">
        <f>VLOOKUP(AM11,Düngemittel!$B$6:$E$64,2,FALSE)*(VLOOKUP(AM11,Düngemittel!$B$6:$E$64,3,FALSE))/100*AN11</f>
        <v>0</v>
      </c>
      <c r="AP11" s="687">
        <f>VLOOKUP(AM11,Düngemittel!$B$6:$E$64,2,FALSE)*AN11</f>
        <v>0</v>
      </c>
      <c r="AQ11" s="687">
        <f>VLOOKUP(AM11,Düngemittel!$B$6:$E$64,4,FALSE)*AN11</f>
        <v>0</v>
      </c>
      <c r="AS11" s="886"/>
      <c r="AT11" s="887" t="s">
        <v>805</v>
      </c>
      <c r="AU11" s="906">
        <v>0</v>
      </c>
      <c r="AV11" s="687">
        <f>VLOOKUP(AT11,Düngemittel!$B$6:$E$64,2,FALSE)*(VLOOKUP(AT11,Düngemittel!$B$6:$E$64,3,FALSE))/100*AU11</f>
        <v>0</v>
      </c>
      <c r="AW11" s="687">
        <f>VLOOKUP(AT11,Düngemittel!$B$6:$E$64,2,FALSE)*AU11</f>
        <v>0</v>
      </c>
      <c r="AX11" s="687">
        <f>VLOOKUP(AT11,Düngemittel!$B$6:$E$64,4,FALSE)*AU11</f>
        <v>0</v>
      </c>
      <c r="AZ11" s="886"/>
      <c r="BA11" s="887" t="s">
        <v>805</v>
      </c>
      <c r="BB11" s="906">
        <v>0</v>
      </c>
      <c r="BC11" s="687">
        <f>VLOOKUP(BA11,Düngemittel!$B$6:$E$64,2,FALSE)*(VLOOKUP(BA11,Düngemittel!$B$6:$E$64,3,FALSE))/100*BB11</f>
        <v>0</v>
      </c>
      <c r="BD11" s="687">
        <f>VLOOKUP(BA11,Düngemittel!$B$6:$E$64,2,FALSE)*BB11</f>
        <v>0</v>
      </c>
      <c r="BE11" s="687">
        <f>VLOOKUP(BA11,Düngemittel!$B$6:$E$64,4,FALSE)*BB11</f>
        <v>0</v>
      </c>
      <c r="BG11" s="853">
        <f t="shared" si="17"/>
        <v>18</v>
      </c>
      <c r="BH11" s="308">
        <f t="shared" si="18"/>
        <v>125.99999999999999</v>
      </c>
      <c r="BI11" s="853">
        <f t="shared" si="19"/>
        <v>198</v>
      </c>
      <c r="BJ11" s="777">
        <f t="shared" si="20"/>
        <v>180</v>
      </c>
      <c r="BK11" s="308">
        <f t="shared" si="21"/>
        <v>121</v>
      </c>
      <c r="BL11" s="83"/>
      <c r="BM11" s="686">
        <f t="shared" si="22"/>
        <v>180</v>
      </c>
      <c r="BN11" s="686">
        <f t="shared" si="23"/>
        <v>1259.9999999999998</v>
      </c>
      <c r="BO11" s="686">
        <f t="shared" si="24"/>
        <v>1980</v>
      </c>
      <c r="BP11" s="686">
        <f t="shared" si="25"/>
        <v>1800</v>
      </c>
      <c r="BQ11" s="686">
        <f t="shared" si="26"/>
        <v>1210</v>
      </c>
      <c r="BT11" s="351">
        <f t="shared" si="11"/>
        <v>0.2</v>
      </c>
      <c r="BU11" s="351">
        <f t="shared" si="12"/>
        <v>0.3</v>
      </c>
      <c r="BW11" s="124" t="s">
        <v>225</v>
      </c>
      <c r="BX11" s="124">
        <v>400</v>
      </c>
      <c r="BY11" s="124">
        <v>220</v>
      </c>
      <c r="BZ11" s="593">
        <v>0.2</v>
      </c>
      <c r="CA11" s="593">
        <v>0.2</v>
      </c>
      <c r="CB11" s="641">
        <v>60</v>
      </c>
      <c r="CC11" s="393">
        <v>0.14000000000000001</v>
      </c>
      <c r="CD11" s="352">
        <f t="shared" si="0"/>
        <v>56.000000000000007</v>
      </c>
      <c r="CE11" s="9"/>
      <c r="CF11" s="3"/>
    </row>
    <row r="12" spans="1:85" ht="26.25" customHeight="1" x14ac:dyDescent="0.25">
      <c r="A12" s="342" t="s">
        <v>71</v>
      </c>
      <c r="B12" s="1215">
        <v>10</v>
      </c>
      <c r="C12" s="600" t="s">
        <v>1304</v>
      </c>
      <c r="D12" s="408">
        <f t="shared" si="1"/>
        <v>450</v>
      </c>
      <c r="E12" s="427">
        <f t="shared" si="2"/>
        <v>200</v>
      </c>
      <c r="F12" s="1206">
        <v>400</v>
      </c>
      <c r="G12" s="413">
        <f t="shared" si="3"/>
        <v>185</v>
      </c>
      <c r="H12" s="602" t="s">
        <v>510</v>
      </c>
      <c r="I12" s="427">
        <f t="shared" si="4"/>
        <v>0</v>
      </c>
      <c r="J12" s="430" t="s">
        <v>31</v>
      </c>
      <c r="K12" s="606">
        <f t="shared" si="5"/>
        <v>0</v>
      </c>
      <c r="L12" s="408">
        <f t="shared" si="6"/>
        <v>90</v>
      </c>
      <c r="M12" s="1209">
        <v>40</v>
      </c>
      <c r="N12" s="450" t="s">
        <v>160</v>
      </c>
      <c r="O12" s="427">
        <f t="shared" si="7"/>
        <v>0</v>
      </c>
      <c r="P12" s="1212"/>
      <c r="Q12" s="747">
        <f t="shared" si="13"/>
        <v>145</v>
      </c>
      <c r="R12" s="608">
        <f t="shared" si="8"/>
        <v>1450</v>
      </c>
      <c r="S12" s="479">
        <f t="shared" si="9"/>
        <v>64</v>
      </c>
      <c r="T12" s="435">
        <f t="shared" si="14"/>
        <v>640</v>
      </c>
      <c r="V12" s="852" t="str">
        <f t="shared" si="15"/>
        <v>Silomais</v>
      </c>
      <c r="W12" s="852" t="str">
        <f t="shared" si="16"/>
        <v>Silomais, 28-30 % TM</v>
      </c>
      <c r="X12" s="886">
        <v>44661</v>
      </c>
      <c r="Y12" s="887" t="s">
        <v>1054</v>
      </c>
      <c r="Z12" s="906">
        <v>500</v>
      </c>
      <c r="AA12" s="687">
        <f>VLOOKUP(Y12,Düngemittel!$B$6:$E$64,2,FALSE)*(VLOOKUP(Y12,Düngemittel!$B$6:$E$64,3,FALSE))/100*Z12</f>
        <v>107.99999999999999</v>
      </c>
      <c r="AB12" s="687">
        <f>VLOOKUP(Y12,Düngemittel!$B$6:$E$64,2,FALSE)*Z12</f>
        <v>180</v>
      </c>
      <c r="AC12" s="687">
        <f>VLOOKUP(Y12,Düngemittel!$B$6:$E$64,4,FALSE)*Z12</f>
        <v>75</v>
      </c>
      <c r="AE12" s="886">
        <v>44612</v>
      </c>
      <c r="AF12" s="887" t="s">
        <v>848</v>
      </c>
      <c r="AG12" s="906">
        <v>1</v>
      </c>
      <c r="AH12" s="687">
        <f>VLOOKUP(AF12,Düngemittel!$B$6:$E$64,2,FALSE)*(VLOOKUP(AF12,Düngemittel!$B$6:$E$64,3,FALSE))/100*AG12</f>
        <v>18</v>
      </c>
      <c r="AI12" s="687">
        <f>VLOOKUP(AF12,Düngemittel!$B$6:$E$64,2,FALSE)*AG12</f>
        <v>18</v>
      </c>
      <c r="AJ12" s="687">
        <f>VLOOKUP(AF12,Düngemittel!$B$6:$E$64,4,FALSE)*AG12</f>
        <v>46</v>
      </c>
      <c r="AL12" s="886">
        <v>44691</v>
      </c>
      <c r="AM12" s="887" t="s">
        <v>841</v>
      </c>
      <c r="AN12" s="906">
        <v>0.7</v>
      </c>
      <c r="AO12" s="687">
        <f>VLOOKUP(AM12,Düngemittel!$B$6:$E$64,2,FALSE)*(VLOOKUP(AM12,Düngemittel!$B$6:$E$64,3,FALSE))/100*AN12</f>
        <v>18.899999999999999</v>
      </c>
      <c r="AP12" s="687">
        <f>VLOOKUP(AM12,Düngemittel!$B$6:$E$64,2,FALSE)*AN12</f>
        <v>18.899999999999999</v>
      </c>
      <c r="AQ12" s="687">
        <f>VLOOKUP(AM12,Düngemittel!$B$6:$E$64,4,FALSE)*AN12</f>
        <v>0</v>
      </c>
      <c r="AS12" s="886"/>
      <c r="AT12" s="887" t="s">
        <v>805</v>
      </c>
      <c r="AU12" s="906">
        <v>0</v>
      </c>
      <c r="AV12" s="687">
        <f>VLOOKUP(AT12,Düngemittel!$B$6:$E$64,2,FALSE)*(VLOOKUP(AT12,Düngemittel!$B$6:$E$64,3,FALSE))/100*AU12</f>
        <v>0</v>
      </c>
      <c r="AW12" s="687">
        <f>VLOOKUP(AT12,Düngemittel!$B$6:$E$64,2,FALSE)*AU12</f>
        <v>0</v>
      </c>
      <c r="AX12" s="687">
        <f>VLOOKUP(AT12,Düngemittel!$B$6:$E$64,4,FALSE)*AU12</f>
        <v>0</v>
      </c>
      <c r="AZ12" s="886"/>
      <c r="BA12" s="887" t="s">
        <v>805</v>
      </c>
      <c r="BB12" s="906">
        <v>0</v>
      </c>
      <c r="BC12" s="687">
        <f>VLOOKUP(BA12,Düngemittel!$B$6:$E$64,2,FALSE)*(VLOOKUP(BA12,Düngemittel!$B$6:$E$64,3,FALSE))/100*BB12</f>
        <v>0</v>
      </c>
      <c r="BD12" s="687">
        <f>VLOOKUP(BA12,Düngemittel!$B$6:$E$64,2,FALSE)*BB12</f>
        <v>0</v>
      </c>
      <c r="BE12" s="687">
        <f>VLOOKUP(BA12,Düngemittel!$B$6:$E$64,4,FALSE)*BB12</f>
        <v>0</v>
      </c>
      <c r="BG12" s="853">
        <f t="shared" si="17"/>
        <v>36.9</v>
      </c>
      <c r="BH12" s="308">
        <f t="shared" si="18"/>
        <v>144.89999999999998</v>
      </c>
      <c r="BI12" s="853">
        <f t="shared" si="19"/>
        <v>216.9</v>
      </c>
      <c r="BJ12" s="777">
        <f t="shared" si="20"/>
        <v>180</v>
      </c>
      <c r="BK12" s="308">
        <f t="shared" si="21"/>
        <v>121</v>
      </c>
      <c r="BL12" s="83"/>
      <c r="BM12" s="686">
        <f t="shared" si="22"/>
        <v>369</v>
      </c>
      <c r="BN12" s="686">
        <f t="shared" si="23"/>
        <v>1448.9999999999998</v>
      </c>
      <c r="BO12" s="686">
        <f t="shared" si="24"/>
        <v>2169</v>
      </c>
      <c r="BP12" s="686">
        <f t="shared" si="25"/>
        <v>1800</v>
      </c>
      <c r="BQ12" s="686">
        <f t="shared" si="26"/>
        <v>1210</v>
      </c>
      <c r="BT12" s="351">
        <f t="shared" si="11"/>
        <v>0.2</v>
      </c>
      <c r="BU12" s="351">
        <f t="shared" si="12"/>
        <v>0.3</v>
      </c>
      <c r="BW12" s="580" t="s">
        <v>691</v>
      </c>
      <c r="BX12" s="580">
        <v>350</v>
      </c>
      <c r="BY12" s="580">
        <v>190</v>
      </c>
      <c r="BZ12" s="580">
        <v>0.2</v>
      </c>
      <c r="CA12" s="580">
        <v>0.3</v>
      </c>
      <c r="CB12" s="641">
        <v>90</v>
      </c>
      <c r="CC12" s="393">
        <v>0.28000000000000003</v>
      </c>
      <c r="CD12" s="352">
        <f t="shared" si="0"/>
        <v>98.000000000000014</v>
      </c>
      <c r="CE12" s="9"/>
      <c r="CF12" s="3"/>
    </row>
    <row r="13" spans="1:85" ht="26.25" customHeight="1" x14ac:dyDescent="0.25">
      <c r="A13" s="342" t="s">
        <v>92</v>
      </c>
      <c r="B13" s="1215">
        <v>10</v>
      </c>
      <c r="C13" s="600" t="s">
        <v>92</v>
      </c>
      <c r="D13" s="408">
        <f t="shared" si="1"/>
        <v>70</v>
      </c>
      <c r="E13" s="427">
        <f t="shared" si="2"/>
        <v>180</v>
      </c>
      <c r="F13" s="1206">
        <v>70</v>
      </c>
      <c r="G13" s="413">
        <f t="shared" si="3"/>
        <v>180</v>
      </c>
      <c r="H13" s="602" t="s">
        <v>510</v>
      </c>
      <c r="I13" s="427">
        <f t="shared" si="4"/>
        <v>0</v>
      </c>
      <c r="J13" s="430" t="s">
        <v>31</v>
      </c>
      <c r="K13" s="606">
        <f t="shared" si="5"/>
        <v>0</v>
      </c>
      <c r="L13" s="408">
        <f t="shared" si="6"/>
        <v>90</v>
      </c>
      <c r="M13" s="1209">
        <v>35</v>
      </c>
      <c r="N13" s="450" t="s">
        <v>160</v>
      </c>
      <c r="O13" s="427">
        <f t="shared" si="7"/>
        <v>0</v>
      </c>
      <c r="P13" s="1212">
        <v>18</v>
      </c>
      <c r="Q13" s="747">
        <f t="shared" si="13"/>
        <v>127</v>
      </c>
      <c r="R13" s="608">
        <f t="shared" si="8"/>
        <v>1270</v>
      </c>
      <c r="S13" s="479">
        <f t="shared" si="9"/>
        <v>56</v>
      </c>
      <c r="T13" s="435">
        <f t="shared" si="14"/>
        <v>560</v>
      </c>
      <c r="V13" s="852" t="str">
        <f t="shared" si="15"/>
        <v>Wintergerste</v>
      </c>
      <c r="W13" s="852" t="str">
        <f t="shared" si="16"/>
        <v>Wintergerste</v>
      </c>
      <c r="X13" s="886">
        <v>44621</v>
      </c>
      <c r="Y13" s="887" t="s">
        <v>841</v>
      </c>
      <c r="Z13" s="906">
        <v>1.5</v>
      </c>
      <c r="AA13" s="687">
        <f>VLOOKUP(Y13,Düngemittel!$B$6:$E$64,2,FALSE)*(VLOOKUP(Y13,Düngemittel!$B$6:$E$64,3,FALSE))/100*Z13</f>
        <v>40.5</v>
      </c>
      <c r="AB13" s="687">
        <f>VLOOKUP(Y13,Düngemittel!$B$6:$E$64,2,FALSE)*Z13</f>
        <v>40.5</v>
      </c>
      <c r="AC13" s="687">
        <f>VLOOKUP(Y13,Düngemittel!$B$6:$E$64,4,FALSE)*Z13</f>
        <v>0</v>
      </c>
      <c r="AE13" s="886">
        <v>44650</v>
      </c>
      <c r="AF13" s="887" t="s">
        <v>842</v>
      </c>
      <c r="AG13" s="906">
        <v>2</v>
      </c>
      <c r="AH13" s="687">
        <f>VLOOKUP(AF13,Düngemittel!$B$6:$E$64,2,FALSE)*(VLOOKUP(AF13,Düngemittel!$B$6:$E$64,3,FALSE))/100*AG13</f>
        <v>52</v>
      </c>
      <c r="AI13" s="687">
        <f>VLOOKUP(AF13,Düngemittel!$B$6:$E$64,2,FALSE)*AG13</f>
        <v>52</v>
      </c>
      <c r="AJ13" s="687">
        <f>VLOOKUP(AF13,Düngemittel!$B$6:$E$64,4,FALSE)*AG13</f>
        <v>0</v>
      </c>
      <c r="AL13" s="886">
        <v>44666</v>
      </c>
      <c r="AM13" s="887" t="s">
        <v>841</v>
      </c>
      <c r="AN13" s="906">
        <v>1.2</v>
      </c>
      <c r="AO13" s="687">
        <f>VLOOKUP(AM13,Düngemittel!$B$6:$E$64,2,FALSE)*(VLOOKUP(AM13,Düngemittel!$B$6:$E$64,3,FALSE))/100*AN13</f>
        <v>32.4</v>
      </c>
      <c r="AP13" s="687">
        <f>VLOOKUP(AM13,Düngemittel!$B$6:$E$64,2,FALSE)*AN13</f>
        <v>32.4</v>
      </c>
      <c r="AQ13" s="687">
        <f>VLOOKUP(AM13,Düngemittel!$B$6:$E$64,4,FALSE)*AN13</f>
        <v>0</v>
      </c>
      <c r="AS13" s="886"/>
      <c r="AT13" s="887" t="s">
        <v>805</v>
      </c>
      <c r="AU13" s="906">
        <v>0</v>
      </c>
      <c r="AV13" s="687">
        <f>VLOOKUP(AT13,Düngemittel!$B$6:$E$64,2,FALSE)*(VLOOKUP(AT13,Düngemittel!$B$6:$E$64,3,FALSE))/100*AU13</f>
        <v>0</v>
      </c>
      <c r="AW13" s="687">
        <f>VLOOKUP(AT13,Düngemittel!$B$6:$E$64,2,FALSE)*AU13</f>
        <v>0</v>
      </c>
      <c r="AX13" s="687">
        <f>VLOOKUP(AT13,Düngemittel!$B$6:$E$64,4,FALSE)*AU13</f>
        <v>0</v>
      </c>
      <c r="AZ13" s="886"/>
      <c r="BA13" s="887" t="s">
        <v>805</v>
      </c>
      <c r="BB13" s="906">
        <v>0</v>
      </c>
      <c r="BC13" s="687">
        <f>VLOOKUP(BA13,Düngemittel!$B$6:$E$64,2,FALSE)*(VLOOKUP(BA13,Düngemittel!$B$6:$E$64,3,FALSE))/100*BB13</f>
        <v>0</v>
      </c>
      <c r="BD13" s="687">
        <f>VLOOKUP(BA13,Düngemittel!$B$6:$E$64,2,FALSE)*BB13</f>
        <v>0</v>
      </c>
      <c r="BE13" s="687">
        <f>VLOOKUP(BA13,Düngemittel!$B$6:$E$64,4,FALSE)*BB13</f>
        <v>0</v>
      </c>
      <c r="BG13" s="853">
        <f t="shared" si="17"/>
        <v>124.9</v>
      </c>
      <c r="BH13" s="308">
        <f t="shared" si="18"/>
        <v>124.9</v>
      </c>
      <c r="BI13" s="853">
        <f t="shared" si="19"/>
        <v>124.9</v>
      </c>
      <c r="BJ13" s="777">
        <f t="shared" si="20"/>
        <v>0</v>
      </c>
      <c r="BK13" s="308">
        <f t="shared" si="21"/>
        <v>0</v>
      </c>
      <c r="BL13" s="83"/>
      <c r="BM13" s="686">
        <f t="shared" si="22"/>
        <v>1249</v>
      </c>
      <c r="BN13" s="686">
        <f t="shared" si="23"/>
        <v>1249</v>
      </c>
      <c r="BO13" s="686">
        <f t="shared" si="24"/>
        <v>1249</v>
      </c>
      <c r="BP13" s="686">
        <f t="shared" si="25"/>
        <v>0</v>
      </c>
      <c r="BQ13" s="686">
        <f t="shared" si="26"/>
        <v>0</v>
      </c>
      <c r="BT13" s="351">
        <f t="shared" si="11"/>
        <v>1</v>
      </c>
      <c r="BU13" s="351">
        <f t="shared" si="12"/>
        <v>1.5</v>
      </c>
      <c r="BW13" s="580" t="s">
        <v>692</v>
      </c>
      <c r="BX13" s="580">
        <v>350</v>
      </c>
      <c r="BY13" s="580">
        <v>100</v>
      </c>
      <c r="BZ13" s="580">
        <v>0.2</v>
      </c>
      <c r="CA13" s="580">
        <v>0.3</v>
      </c>
      <c r="CB13" s="641">
        <v>60</v>
      </c>
      <c r="CC13" s="393">
        <v>0.15</v>
      </c>
      <c r="CD13" s="352">
        <f t="shared" si="0"/>
        <v>52.5</v>
      </c>
      <c r="CE13" s="9"/>
      <c r="CF13" s="3"/>
    </row>
    <row r="14" spans="1:85" ht="26.25" customHeight="1" x14ac:dyDescent="0.25">
      <c r="A14" s="342"/>
      <c r="B14" s="1215"/>
      <c r="C14" s="600" t="s">
        <v>31</v>
      </c>
      <c r="D14" s="408">
        <f t="shared" si="1"/>
        <v>0</v>
      </c>
      <c r="E14" s="427">
        <f t="shared" si="2"/>
        <v>0</v>
      </c>
      <c r="F14" s="1206"/>
      <c r="G14" s="413">
        <f t="shared" si="3"/>
        <v>0</v>
      </c>
      <c r="H14" s="602" t="s">
        <v>510</v>
      </c>
      <c r="I14" s="427">
        <f t="shared" si="4"/>
        <v>0</v>
      </c>
      <c r="J14" s="430" t="s">
        <v>31</v>
      </c>
      <c r="K14" s="606">
        <f t="shared" si="5"/>
        <v>0</v>
      </c>
      <c r="L14" s="408">
        <f t="shared" si="6"/>
        <v>0</v>
      </c>
      <c r="M14" s="1209"/>
      <c r="N14" s="450" t="s">
        <v>160</v>
      </c>
      <c r="O14" s="427">
        <f t="shared" si="7"/>
        <v>0</v>
      </c>
      <c r="P14" s="1212"/>
      <c r="Q14" s="747">
        <f t="shared" si="13"/>
        <v>0</v>
      </c>
      <c r="R14" s="608">
        <f t="shared" si="8"/>
        <v>0</v>
      </c>
      <c r="S14" s="479">
        <f t="shared" si="9"/>
        <v>0</v>
      </c>
      <c r="T14" s="435">
        <f t="shared" si="14"/>
        <v>0</v>
      </c>
      <c r="V14" s="852">
        <f t="shared" si="15"/>
        <v>0</v>
      </c>
      <c r="W14" s="852" t="str">
        <f t="shared" si="16"/>
        <v>keine</v>
      </c>
      <c r="X14" s="886"/>
      <c r="Y14" s="887" t="s">
        <v>805</v>
      </c>
      <c r="Z14" s="906">
        <v>0</v>
      </c>
      <c r="AA14" s="687">
        <f>VLOOKUP(Y14,Düngemittel!$B$6:$E$64,2,FALSE)*(VLOOKUP(Y14,Düngemittel!$B$6:$E$64,3,FALSE))/100*Z14</f>
        <v>0</v>
      </c>
      <c r="AB14" s="687">
        <f>VLOOKUP(Y14,Düngemittel!$B$6:$E$64,2,FALSE)*Z14</f>
        <v>0</v>
      </c>
      <c r="AC14" s="687">
        <f>VLOOKUP(Y14,Düngemittel!$B$6:$E$64,4,FALSE)*Z14</f>
        <v>0</v>
      </c>
      <c r="AE14" s="886"/>
      <c r="AF14" s="887" t="s">
        <v>805</v>
      </c>
      <c r="AG14" s="906">
        <v>0</v>
      </c>
      <c r="AH14" s="687">
        <f>VLOOKUP(AF14,Düngemittel!$B$6:$E$64,2,FALSE)*(VLOOKUP(AF14,Düngemittel!$B$6:$E$64,3,FALSE))/100*AG14</f>
        <v>0</v>
      </c>
      <c r="AI14" s="687">
        <f>VLOOKUP(AF14,Düngemittel!$B$6:$E$64,2,FALSE)*AG14</f>
        <v>0</v>
      </c>
      <c r="AJ14" s="687">
        <f>VLOOKUP(AF14,Düngemittel!$B$6:$E$64,4,FALSE)*AG14</f>
        <v>0</v>
      </c>
      <c r="AL14" s="886"/>
      <c r="AM14" s="887" t="s">
        <v>805</v>
      </c>
      <c r="AN14" s="906">
        <v>0</v>
      </c>
      <c r="AO14" s="687">
        <f>VLOOKUP(AM14,Düngemittel!$B$6:$E$64,2,FALSE)*(VLOOKUP(AM14,Düngemittel!$B$6:$E$64,3,FALSE))/100*AN14</f>
        <v>0</v>
      </c>
      <c r="AP14" s="687">
        <f>VLOOKUP(AM14,Düngemittel!$B$6:$E$64,2,FALSE)*AN14</f>
        <v>0</v>
      </c>
      <c r="AQ14" s="687">
        <f>VLOOKUP(AM14,Düngemittel!$B$6:$E$64,4,FALSE)*AN14</f>
        <v>0</v>
      </c>
      <c r="AS14" s="886"/>
      <c r="AT14" s="887" t="s">
        <v>805</v>
      </c>
      <c r="AU14" s="906">
        <v>0</v>
      </c>
      <c r="AV14" s="687">
        <f>VLOOKUP(AT14,Düngemittel!$B$6:$E$64,2,FALSE)*(VLOOKUP(AT14,Düngemittel!$B$6:$E$64,3,FALSE))/100*AU14</f>
        <v>0</v>
      </c>
      <c r="AW14" s="687">
        <f>VLOOKUP(AT14,Düngemittel!$B$6:$E$64,2,FALSE)*AU14</f>
        <v>0</v>
      </c>
      <c r="AX14" s="687">
        <f>VLOOKUP(AT14,Düngemittel!$B$6:$E$64,4,FALSE)*AU14</f>
        <v>0</v>
      </c>
      <c r="AZ14" s="886"/>
      <c r="BA14" s="887" t="s">
        <v>805</v>
      </c>
      <c r="BB14" s="906">
        <v>0</v>
      </c>
      <c r="BC14" s="687">
        <f>VLOOKUP(BA14,Düngemittel!$B$6:$E$64,2,FALSE)*(VLOOKUP(BA14,Düngemittel!$B$6:$E$64,3,FALSE))/100*BB14</f>
        <v>0</v>
      </c>
      <c r="BD14" s="687">
        <f>VLOOKUP(BA14,Düngemittel!$B$6:$E$64,2,FALSE)*BB14</f>
        <v>0</v>
      </c>
      <c r="BE14" s="687">
        <f>VLOOKUP(BA14,Düngemittel!$B$6:$E$64,4,FALSE)*BB14</f>
        <v>0</v>
      </c>
      <c r="BG14" s="853">
        <f t="shared" si="17"/>
        <v>0</v>
      </c>
      <c r="BH14" s="308">
        <f t="shared" si="18"/>
        <v>0</v>
      </c>
      <c r="BI14" s="853">
        <f t="shared" si="19"/>
        <v>0</v>
      </c>
      <c r="BJ14" s="777">
        <f t="shared" si="20"/>
        <v>0</v>
      </c>
      <c r="BK14" s="308">
        <f t="shared" si="21"/>
        <v>0</v>
      </c>
      <c r="BL14" s="83"/>
      <c r="BM14" s="686">
        <f t="shared" si="22"/>
        <v>0</v>
      </c>
      <c r="BN14" s="686">
        <f t="shared" si="23"/>
        <v>0</v>
      </c>
      <c r="BO14" s="686">
        <f t="shared" si="24"/>
        <v>0</v>
      </c>
      <c r="BP14" s="686">
        <f t="shared" si="25"/>
        <v>0</v>
      </c>
      <c r="BQ14" s="686">
        <f t="shared" si="26"/>
        <v>0</v>
      </c>
      <c r="BT14" s="351">
        <f t="shared" si="11"/>
        <v>0</v>
      </c>
      <c r="BU14" s="351">
        <f t="shared" si="12"/>
        <v>0</v>
      </c>
      <c r="BW14" s="580" t="s">
        <v>693</v>
      </c>
      <c r="BX14" s="580">
        <v>350</v>
      </c>
      <c r="BY14" s="580">
        <v>180</v>
      </c>
      <c r="BZ14" s="580">
        <v>0.2</v>
      </c>
      <c r="CA14" s="580">
        <v>0.3</v>
      </c>
      <c r="CB14" s="641">
        <v>60</v>
      </c>
      <c r="CC14" s="393">
        <v>0.15</v>
      </c>
      <c r="CD14" s="352">
        <f t="shared" si="0"/>
        <v>52.5</v>
      </c>
      <c r="CE14" s="9"/>
      <c r="CF14"/>
    </row>
    <row r="15" spans="1:85" ht="26.25" customHeight="1" x14ac:dyDescent="0.25">
      <c r="A15" s="342"/>
      <c r="B15" s="1215"/>
      <c r="C15" s="600" t="s">
        <v>31</v>
      </c>
      <c r="D15" s="408">
        <f t="shared" si="1"/>
        <v>0</v>
      </c>
      <c r="E15" s="427">
        <f t="shared" si="2"/>
        <v>0</v>
      </c>
      <c r="F15" s="1206"/>
      <c r="G15" s="413">
        <f t="shared" si="3"/>
        <v>0</v>
      </c>
      <c r="H15" s="602" t="s">
        <v>510</v>
      </c>
      <c r="I15" s="427">
        <f t="shared" si="4"/>
        <v>0</v>
      </c>
      <c r="J15" s="430" t="s">
        <v>31</v>
      </c>
      <c r="K15" s="606">
        <f t="shared" si="5"/>
        <v>0</v>
      </c>
      <c r="L15" s="408">
        <f t="shared" si="6"/>
        <v>0</v>
      </c>
      <c r="M15" s="1209"/>
      <c r="N15" s="450" t="s">
        <v>160</v>
      </c>
      <c r="O15" s="427">
        <f t="shared" si="7"/>
        <v>0</v>
      </c>
      <c r="P15" s="1212"/>
      <c r="Q15" s="747">
        <f t="shared" si="13"/>
        <v>0</v>
      </c>
      <c r="R15" s="608">
        <f t="shared" si="8"/>
        <v>0</v>
      </c>
      <c r="S15" s="479">
        <f t="shared" si="9"/>
        <v>0</v>
      </c>
      <c r="T15" s="435">
        <f t="shared" si="14"/>
        <v>0</v>
      </c>
      <c r="V15" s="852">
        <f t="shared" si="15"/>
        <v>0</v>
      </c>
      <c r="W15" s="852" t="str">
        <f t="shared" si="16"/>
        <v>keine</v>
      </c>
      <c r="X15" s="886"/>
      <c r="Y15" s="887" t="s">
        <v>805</v>
      </c>
      <c r="Z15" s="906">
        <v>0</v>
      </c>
      <c r="AA15" s="687">
        <f>VLOOKUP(Y15,Düngemittel!$B$6:$E$64,2,FALSE)*(VLOOKUP(Y15,Düngemittel!$B$6:$E$64,3,FALSE))/100*Z15</f>
        <v>0</v>
      </c>
      <c r="AB15" s="687">
        <f>VLOOKUP(Y15,Düngemittel!$B$6:$E$64,2,FALSE)*Z15</f>
        <v>0</v>
      </c>
      <c r="AC15" s="687">
        <f>VLOOKUP(Y15,Düngemittel!$B$6:$E$64,4,FALSE)*Z15</f>
        <v>0</v>
      </c>
      <c r="AE15" s="886"/>
      <c r="AF15" s="887" t="s">
        <v>805</v>
      </c>
      <c r="AG15" s="906">
        <v>0</v>
      </c>
      <c r="AH15" s="687">
        <f>VLOOKUP(AF15,Düngemittel!$B$6:$E$64,2,FALSE)*(VLOOKUP(AF15,Düngemittel!$B$6:$E$64,3,FALSE))/100*AG15</f>
        <v>0</v>
      </c>
      <c r="AI15" s="687">
        <f>VLOOKUP(AF15,Düngemittel!$B$6:$E$64,2,FALSE)*AG15</f>
        <v>0</v>
      </c>
      <c r="AJ15" s="687">
        <f>VLOOKUP(AF15,Düngemittel!$B$6:$E$64,4,FALSE)*AG15</f>
        <v>0</v>
      </c>
      <c r="AL15" s="886"/>
      <c r="AM15" s="887" t="s">
        <v>805</v>
      </c>
      <c r="AN15" s="906">
        <v>0</v>
      </c>
      <c r="AO15" s="687">
        <f>VLOOKUP(AM15,Düngemittel!$B$6:$E$64,2,FALSE)*(VLOOKUP(AM15,Düngemittel!$B$6:$E$64,3,FALSE))/100*AN15</f>
        <v>0</v>
      </c>
      <c r="AP15" s="687">
        <f>VLOOKUP(AM15,Düngemittel!$B$6:$E$64,2,FALSE)*AN15</f>
        <v>0</v>
      </c>
      <c r="AQ15" s="687">
        <f>VLOOKUP(AM15,Düngemittel!$B$6:$E$64,4,FALSE)*AN15</f>
        <v>0</v>
      </c>
      <c r="AS15" s="886"/>
      <c r="AT15" s="887" t="s">
        <v>805</v>
      </c>
      <c r="AU15" s="906">
        <v>0</v>
      </c>
      <c r="AV15" s="687">
        <f>VLOOKUP(AT15,Düngemittel!$B$6:$E$64,2,FALSE)*(VLOOKUP(AT15,Düngemittel!$B$6:$E$64,3,FALSE))/100*AU15</f>
        <v>0</v>
      </c>
      <c r="AW15" s="687">
        <f>VLOOKUP(AT15,Düngemittel!$B$6:$E$64,2,FALSE)*AU15</f>
        <v>0</v>
      </c>
      <c r="AX15" s="687">
        <f>VLOOKUP(AT15,Düngemittel!$B$6:$E$64,4,FALSE)*AU15</f>
        <v>0</v>
      </c>
      <c r="AZ15" s="886"/>
      <c r="BA15" s="887" t="s">
        <v>805</v>
      </c>
      <c r="BB15" s="906">
        <v>0</v>
      </c>
      <c r="BC15" s="687">
        <f>VLOOKUP(BA15,Düngemittel!$B$6:$E$64,2,FALSE)*(VLOOKUP(BA15,Düngemittel!$B$6:$E$64,3,FALSE))/100*BB15</f>
        <v>0</v>
      </c>
      <c r="BD15" s="687">
        <f>VLOOKUP(BA15,Düngemittel!$B$6:$E$64,2,FALSE)*BB15</f>
        <v>0</v>
      </c>
      <c r="BE15" s="687">
        <f>VLOOKUP(BA15,Düngemittel!$B$6:$E$64,4,FALSE)*BB15</f>
        <v>0</v>
      </c>
      <c r="BG15" s="853">
        <f t="shared" si="17"/>
        <v>0</v>
      </c>
      <c r="BH15" s="308">
        <f t="shared" si="18"/>
        <v>0</v>
      </c>
      <c r="BI15" s="853">
        <f t="shared" si="19"/>
        <v>0</v>
      </c>
      <c r="BJ15" s="777">
        <f t="shared" si="20"/>
        <v>0</v>
      </c>
      <c r="BK15" s="308">
        <f t="shared" si="21"/>
        <v>0</v>
      </c>
      <c r="BL15" s="83"/>
      <c r="BM15" s="686">
        <f t="shared" si="22"/>
        <v>0</v>
      </c>
      <c r="BN15" s="686">
        <f t="shared" si="23"/>
        <v>0</v>
      </c>
      <c r="BO15" s="686">
        <f t="shared" si="24"/>
        <v>0</v>
      </c>
      <c r="BP15" s="686">
        <f t="shared" si="25"/>
        <v>0</v>
      </c>
      <c r="BQ15" s="686">
        <f t="shared" si="26"/>
        <v>0</v>
      </c>
      <c r="BT15" s="351">
        <f t="shared" si="11"/>
        <v>0</v>
      </c>
      <c r="BU15" s="351">
        <f t="shared" si="12"/>
        <v>0</v>
      </c>
      <c r="BW15" s="240" t="s">
        <v>701</v>
      </c>
      <c r="BX15" s="240">
        <v>650</v>
      </c>
      <c r="BY15" s="594">
        <v>190</v>
      </c>
      <c r="BZ15" s="595">
        <v>0.2</v>
      </c>
      <c r="CA15" s="595">
        <v>0.24</v>
      </c>
      <c r="CB15" s="641">
        <v>90</v>
      </c>
      <c r="CC15" s="393">
        <v>0.09</v>
      </c>
      <c r="CD15" s="352">
        <f t="shared" si="0"/>
        <v>58.5</v>
      </c>
    </row>
    <row r="16" spans="1:85" ht="26.25" customHeight="1" x14ac:dyDescent="0.25">
      <c r="A16" s="342"/>
      <c r="B16" s="1215"/>
      <c r="C16" s="600" t="s">
        <v>31</v>
      </c>
      <c r="D16" s="408">
        <f t="shared" si="1"/>
        <v>0</v>
      </c>
      <c r="E16" s="427">
        <f t="shared" si="2"/>
        <v>0</v>
      </c>
      <c r="F16" s="1206"/>
      <c r="G16" s="413">
        <f t="shared" si="3"/>
        <v>0</v>
      </c>
      <c r="H16" s="602" t="s">
        <v>510</v>
      </c>
      <c r="I16" s="427">
        <f t="shared" si="4"/>
        <v>0</v>
      </c>
      <c r="J16" s="430" t="s">
        <v>31</v>
      </c>
      <c r="K16" s="606">
        <f t="shared" si="5"/>
        <v>0</v>
      </c>
      <c r="L16" s="408">
        <f t="shared" si="6"/>
        <v>0</v>
      </c>
      <c r="M16" s="1209"/>
      <c r="N16" s="450" t="s">
        <v>160</v>
      </c>
      <c r="O16" s="427">
        <f t="shared" si="7"/>
        <v>0</v>
      </c>
      <c r="P16" s="1212"/>
      <c r="Q16" s="747">
        <f t="shared" si="13"/>
        <v>0</v>
      </c>
      <c r="R16" s="608">
        <f t="shared" si="8"/>
        <v>0</v>
      </c>
      <c r="S16" s="479">
        <f t="shared" si="9"/>
        <v>0</v>
      </c>
      <c r="T16" s="435">
        <f t="shared" si="14"/>
        <v>0</v>
      </c>
      <c r="V16" s="852">
        <f t="shared" si="15"/>
        <v>0</v>
      </c>
      <c r="W16" s="852" t="str">
        <f t="shared" si="16"/>
        <v>keine</v>
      </c>
      <c r="X16" s="886"/>
      <c r="Y16" s="887" t="s">
        <v>805</v>
      </c>
      <c r="Z16" s="906">
        <v>0</v>
      </c>
      <c r="AA16" s="687">
        <f>VLOOKUP(Y16,Düngemittel!$B$6:$E$64,2,FALSE)*(VLOOKUP(Y16,Düngemittel!$B$6:$E$64,3,FALSE))/100*Z16</f>
        <v>0</v>
      </c>
      <c r="AB16" s="687">
        <f>VLOOKUP(Y16,Düngemittel!$B$6:$E$64,2,FALSE)*Z16</f>
        <v>0</v>
      </c>
      <c r="AC16" s="687">
        <f>VLOOKUP(Y16,Düngemittel!$B$6:$E$64,4,FALSE)*Z16</f>
        <v>0</v>
      </c>
      <c r="AE16" s="886"/>
      <c r="AF16" s="887" t="s">
        <v>805</v>
      </c>
      <c r="AG16" s="906">
        <v>0</v>
      </c>
      <c r="AH16" s="687">
        <f>VLOOKUP(AF16,Düngemittel!$B$6:$E$64,2,FALSE)*(VLOOKUP(AF16,Düngemittel!$B$6:$E$64,3,FALSE))/100*AG16</f>
        <v>0</v>
      </c>
      <c r="AI16" s="687">
        <f>VLOOKUP(AF16,Düngemittel!$B$6:$E$64,2,FALSE)*AG16</f>
        <v>0</v>
      </c>
      <c r="AJ16" s="687">
        <f>VLOOKUP(AF16,Düngemittel!$B$6:$E$64,4,FALSE)*AG16</f>
        <v>0</v>
      </c>
      <c r="AL16" s="886"/>
      <c r="AM16" s="887" t="s">
        <v>805</v>
      </c>
      <c r="AN16" s="906">
        <v>0</v>
      </c>
      <c r="AO16" s="687">
        <f>VLOOKUP(AM16,Düngemittel!$B$6:$E$64,2,FALSE)*(VLOOKUP(AM16,Düngemittel!$B$6:$E$64,3,FALSE))/100*AN16</f>
        <v>0</v>
      </c>
      <c r="AP16" s="687">
        <f>VLOOKUP(AM16,Düngemittel!$B$6:$E$64,2,FALSE)*AN16</f>
        <v>0</v>
      </c>
      <c r="AQ16" s="687">
        <f>VLOOKUP(AM16,Düngemittel!$B$6:$E$64,4,FALSE)*AN16</f>
        <v>0</v>
      </c>
      <c r="AS16" s="886"/>
      <c r="AT16" s="887" t="s">
        <v>805</v>
      </c>
      <c r="AU16" s="906">
        <v>0</v>
      </c>
      <c r="AV16" s="687">
        <f>VLOOKUP(AT16,Düngemittel!$B$6:$E$64,2,FALSE)*(VLOOKUP(AT16,Düngemittel!$B$6:$E$64,3,FALSE))/100*AU16</f>
        <v>0</v>
      </c>
      <c r="AW16" s="687">
        <f>VLOOKUP(AT16,Düngemittel!$B$6:$E$64,2,FALSE)*AU16</f>
        <v>0</v>
      </c>
      <c r="AX16" s="687">
        <f>VLOOKUP(AT16,Düngemittel!$B$6:$E$64,4,FALSE)*AU16</f>
        <v>0</v>
      </c>
      <c r="AZ16" s="886"/>
      <c r="BA16" s="887" t="s">
        <v>805</v>
      </c>
      <c r="BB16" s="906">
        <v>0</v>
      </c>
      <c r="BC16" s="687">
        <f>VLOOKUP(BA16,Düngemittel!$B$6:$E$64,2,FALSE)*(VLOOKUP(BA16,Düngemittel!$B$6:$E$64,3,FALSE))/100*BB16</f>
        <v>0</v>
      </c>
      <c r="BD16" s="687">
        <f>VLOOKUP(BA16,Düngemittel!$B$6:$E$64,2,FALSE)*BB16</f>
        <v>0</v>
      </c>
      <c r="BE16" s="687">
        <f>VLOOKUP(BA16,Düngemittel!$B$6:$E$64,4,FALSE)*BB16</f>
        <v>0</v>
      </c>
      <c r="BG16" s="853">
        <f t="shared" si="17"/>
        <v>0</v>
      </c>
      <c r="BH16" s="308">
        <f t="shared" si="18"/>
        <v>0</v>
      </c>
      <c r="BI16" s="853">
        <f t="shared" si="19"/>
        <v>0</v>
      </c>
      <c r="BJ16" s="777">
        <f t="shared" si="20"/>
        <v>0</v>
      </c>
      <c r="BK16" s="308">
        <f t="shared" si="21"/>
        <v>0</v>
      </c>
      <c r="BL16" s="83"/>
      <c r="BM16" s="686">
        <f t="shared" si="22"/>
        <v>0</v>
      </c>
      <c r="BN16" s="686">
        <f t="shared" si="23"/>
        <v>0</v>
      </c>
      <c r="BO16" s="686">
        <f t="shared" si="24"/>
        <v>0</v>
      </c>
      <c r="BP16" s="686">
        <f t="shared" si="25"/>
        <v>0</v>
      </c>
      <c r="BQ16" s="686">
        <f t="shared" si="26"/>
        <v>0</v>
      </c>
      <c r="BT16" s="351">
        <f t="shared" si="11"/>
        <v>0</v>
      </c>
      <c r="BU16" s="351">
        <f t="shared" si="12"/>
        <v>0</v>
      </c>
      <c r="BW16" s="124" t="s">
        <v>16</v>
      </c>
      <c r="BX16" s="124">
        <v>55</v>
      </c>
      <c r="BY16" s="124">
        <v>130</v>
      </c>
      <c r="BZ16" s="124">
        <v>1</v>
      </c>
      <c r="CA16" s="124">
        <v>1.5</v>
      </c>
      <c r="CB16" s="641">
        <v>60</v>
      </c>
      <c r="CC16" s="393">
        <v>0.8</v>
      </c>
      <c r="CD16" s="352">
        <f>BX16*CC16</f>
        <v>44</v>
      </c>
      <c r="CE16" s="32"/>
      <c r="CF16" s="3"/>
    </row>
    <row r="17" spans="1:84" ht="26.25" customHeight="1" x14ac:dyDescent="0.25">
      <c r="A17" s="342"/>
      <c r="B17" s="1215"/>
      <c r="C17" s="600" t="s">
        <v>31</v>
      </c>
      <c r="D17" s="408">
        <f t="shared" si="1"/>
        <v>0</v>
      </c>
      <c r="E17" s="427">
        <f t="shared" si="2"/>
        <v>0</v>
      </c>
      <c r="F17" s="1206"/>
      <c r="G17" s="413">
        <f t="shared" si="3"/>
        <v>0</v>
      </c>
      <c r="H17" s="602" t="s">
        <v>510</v>
      </c>
      <c r="I17" s="427">
        <f t="shared" si="4"/>
        <v>0</v>
      </c>
      <c r="J17" s="430" t="s">
        <v>31</v>
      </c>
      <c r="K17" s="606">
        <f t="shared" si="5"/>
        <v>0</v>
      </c>
      <c r="L17" s="408">
        <f t="shared" si="6"/>
        <v>0</v>
      </c>
      <c r="M17" s="1209"/>
      <c r="N17" s="450" t="s">
        <v>160</v>
      </c>
      <c r="O17" s="427">
        <f t="shared" si="7"/>
        <v>0</v>
      </c>
      <c r="P17" s="1212"/>
      <c r="Q17" s="747">
        <f t="shared" si="13"/>
        <v>0</v>
      </c>
      <c r="R17" s="608">
        <f t="shared" si="8"/>
        <v>0</v>
      </c>
      <c r="S17" s="479">
        <f t="shared" si="9"/>
        <v>0</v>
      </c>
      <c r="T17" s="435">
        <f t="shared" si="14"/>
        <v>0</v>
      </c>
      <c r="V17" s="852">
        <f t="shared" si="15"/>
        <v>0</v>
      </c>
      <c r="W17" s="852" t="str">
        <f t="shared" si="16"/>
        <v>keine</v>
      </c>
      <c r="X17" s="886"/>
      <c r="Y17" s="887" t="s">
        <v>805</v>
      </c>
      <c r="Z17" s="906">
        <v>0</v>
      </c>
      <c r="AA17" s="687">
        <f>VLOOKUP(Y17,Düngemittel!$B$6:$E$64,2,FALSE)*(VLOOKUP(Y17,Düngemittel!$B$6:$E$64,3,FALSE))/100*Z17</f>
        <v>0</v>
      </c>
      <c r="AB17" s="687">
        <f>VLOOKUP(Y17,Düngemittel!$B$6:$E$64,2,FALSE)*Z17</f>
        <v>0</v>
      </c>
      <c r="AC17" s="687">
        <f>VLOOKUP(Y17,Düngemittel!$B$6:$E$64,4,FALSE)*Z17</f>
        <v>0</v>
      </c>
      <c r="AE17" s="886"/>
      <c r="AF17" s="887" t="s">
        <v>805</v>
      </c>
      <c r="AG17" s="906">
        <v>0</v>
      </c>
      <c r="AH17" s="687">
        <f>VLOOKUP(AF17,Düngemittel!$B$6:$E$64,2,FALSE)*(VLOOKUP(AF17,Düngemittel!$B$6:$E$64,3,FALSE))/100*AG17</f>
        <v>0</v>
      </c>
      <c r="AI17" s="687">
        <f>VLOOKUP(AF17,Düngemittel!$B$6:$E$64,2,FALSE)*AG17</f>
        <v>0</v>
      </c>
      <c r="AJ17" s="687">
        <f>VLOOKUP(AF17,Düngemittel!$B$6:$E$64,4,FALSE)*AG17</f>
        <v>0</v>
      </c>
      <c r="AL17" s="886"/>
      <c r="AM17" s="887" t="s">
        <v>805</v>
      </c>
      <c r="AN17" s="906">
        <v>0</v>
      </c>
      <c r="AO17" s="687">
        <f>VLOOKUP(AM17,Düngemittel!$B$6:$E$64,2,FALSE)*(VLOOKUP(AM17,Düngemittel!$B$6:$E$64,3,FALSE))/100*AN17</f>
        <v>0</v>
      </c>
      <c r="AP17" s="687">
        <f>VLOOKUP(AM17,Düngemittel!$B$6:$E$64,2,FALSE)*AN17</f>
        <v>0</v>
      </c>
      <c r="AQ17" s="687">
        <f>VLOOKUP(AM17,Düngemittel!$B$6:$E$64,4,FALSE)*AN17</f>
        <v>0</v>
      </c>
      <c r="AS17" s="886"/>
      <c r="AT17" s="887" t="s">
        <v>805</v>
      </c>
      <c r="AU17" s="906">
        <v>0</v>
      </c>
      <c r="AV17" s="687">
        <f>VLOOKUP(AT17,Düngemittel!$B$6:$E$64,2,FALSE)*(VLOOKUP(AT17,Düngemittel!$B$6:$E$64,3,FALSE))/100*AU17</f>
        <v>0</v>
      </c>
      <c r="AW17" s="687">
        <f>VLOOKUP(AT17,Düngemittel!$B$6:$E$64,2,FALSE)*AU17</f>
        <v>0</v>
      </c>
      <c r="AX17" s="687">
        <f>VLOOKUP(AT17,Düngemittel!$B$6:$E$64,4,FALSE)*AU17</f>
        <v>0</v>
      </c>
      <c r="AZ17" s="886"/>
      <c r="BA17" s="887" t="s">
        <v>805</v>
      </c>
      <c r="BB17" s="906">
        <v>0</v>
      </c>
      <c r="BC17" s="687">
        <f>VLOOKUP(BA17,Düngemittel!$B$6:$E$64,2,FALSE)*(VLOOKUP(BA17,Düngemittel!$B$6:$E$64,3,FALSE))/100*BB17</f>
        <v>0</v>
      </c>
      <c r="BD17" s="687">
        <f>VLOOKUP(BA17,Düngemittel!$B$6:$E$64,2,FALSE)*BB17</f>
        <v>0</v>
      </c>
      <c r="BE17" s="687">
        <f>VLOOKUP(BA17,Düngemittel!$B$6:$E$64,4,FALSE)*BB17</f>
        <v>0</v>
      </c>
      <c r="BG17" s="853">
        <f t="shared" si="17"/>
        <v>0</v>
      </c>
      <c r="BH17" s="308">
        <f t="shared" si="18"/>
        <v>0</v>
      </c>
      <c r="BI17" s="853">
        <f t="shared" si="19"/>
        <v>0</v>
      </c>
      <c r="BJ17" s="777">
        <f t="shared" si="20"/>
        <v>0</v>
      </c>
      <c r="BK17" s="308">
        <f t="shared" si="21"/>
        <v>0</v>
      </c>
      <c r="BL17" s="83"/>
      <c r="BM17" s="686">
        <f t="shared" si="22"/>
        <v>0</v>
      </c>
      <c r="BN17" s="686">
        <f t="shared" si="23"/>
        <v>0</v>
      </c>
      <c r="BO17" s="686">
        <f t="shared" si="24"/>
        <v>0</v>
      </c>
      <c r="BP17" s="686">
        <f t="shared" si="25"/>
        <v>0</v>
      </c>
      <c r="BQ17" s="686">
        <f t="shared" si="26"/>
        <v>0</v>
      </c>
      <c r="BT17" s="351">
        <f t="shared" si="11"/>
        <v>0</v>
      </c>
      <c r="BU17" s="351">
        <f t="shared" si="12"/>
        <v>0</v>
      </c>
      <c r="BW17" s="580" t="s">
        <v>769</v>
      </c>
      <c r="BX17" s="580">
        <v>550</v>
      </c>
      <c r="BY17" s="580">
        <v>200</v>
      </c>
      <c r="BZ17" s="580">
        <v>0.2</v>
      </c>
      <c r="CA17" s="580">
        <v>0.3</v>
      </c>
      <c r="CB17" s="591">
        <v>60</v>
      </c>
      <c r="CC17" s="393">
        <v>0.12</v>
      </c>
      <c r="CD17" s="352">
        <f t="shared" si="0"/>
        <v>66</v>
      </c>
      <c r="CE17" s="9"/>
      <c r="CF17" s="3"/>
    </row>
    <row r="18" spans="1:84" ht="26.25" customHeight="1" x14ac:dyDescent="0.25">
      <c r="A18" s="342"/>
      <c r="B18" s="1215"/>
      <c r="C18" s="600" t="s">
        <v>31</v>
      </c>
      <c r="D18" s="408">
        <f t="shared" si="1"/>
        <v>0</v>
      </c>
      <c r="E18" s="427">
        <f t="shared" si="2"/>
        <v>0</v>
      </c>
      <c r="F18" s="1206"/>
      <c r="G18" s="413">
        <f t="shared" si="3"/>
        <v>0</v>
      </c>
      <c r="H18" s="602" t="s">
        <v>510</v>
      </c>
      <c r="I18" s="427">
        <f t="shared" si="4"/>
        <v>0</v>
      </c>
      <c r="J18" s="430" t="s">
        <v>31</v>
      </c>
      <c r="K18" s="606">
        <f t="shared" si="5"/>
        <v>0</v>
      </c>
      <c r="L18" s="408">
        <f t="shared" si="6"/>
        <v>0</v>
      </c>
      <c r="M18" s="1209"/>
      <c r="N18" s="450" t="s">
        <v>160</v>
      </c>
      <c r="O18" s="427">
        <f t="shared" si="7"/>
        <v>0</v>
      </c>
      <c r="P18" s="1212"/>
      <c r="Q18" s="747">
        <f t="shared" si="13"/>
        <v>0</v>
      </c>
      <c r="R18" s="608">
        <f t="shared" si="8"/>
        <v>0</v>
      </c>
      <c r="S18" s="479">
        <f t="shared" si="9"/>
        <v>0</v>
      </c>
      <c r="T18" s="435">
        <f t="shared" si="14"/>
        <v>0</v>
      </c>
      <c r="V18" s="852">
        <f t="shared" si="15"/>
        <v>0</v>
      </c>
      <c r="W18" s="852" t="str">
        <f t="shared" si="16"/>
        <v>keine</v>
      </c>
      <c r="X18" s="886"/>
      <c r="Y18" s="887" t="s">
        <v>805</v>
      </c>
      <c r="Z18" s="906">
        <v>0</v>
      </c>
      <c r="AA18" s="687">
        <f>VLOOKUP(Y18,Düngemittel!$B$6:$E$64,2,FALSE)*(VLOOKUP(Y18,Düngemittel!$B$6:$E$64,3,FALSE))/100*Z18</f>
        <v>0</v>
      </c>
      <c r="AB18" s="687">
        <f>VLOOKUP(Y18,Düngemittel!$B$6:$E$64,2,FALSE)*Z18</f>
        <v>0</v>
      </c>
      <c r="AC18" s="687">
        <f>VLOOKUP(Y18,Düngemittel!$B$6:$E$64,4,FALSE)*Z18</f>
        <v>0</v>
      </c>
      <c r="AE18" s="886"/>
      <c r="AF18" s="887" t="s">
        <v>805</v>
      </c>
      <c r="AG18" s="906">
        <v>0</v>
      </c>
      <c r="AH18" s="687">
        <f>VLOOKUP(AF18,Düngemittel!$B$6:$E$64,2,FALSE)*(VLOOKUP(AF18,Düngemittel!$B$6:$E$64,3,FALSE))/100*AG18</f>
        <v>0</v>
      </c>
      <c r="AI18" s="687">
        <f>VLOOKUP(AF18,Düngemittel!$B$6:$E$64,2,FALSE)*AG18</f>
        <v>0</v>
      </c>
      <c r="AJ18" s="687">
        <f>VLOOKUP(AF18,Düngemittel!$B$6:$E$64,4,FALSE)*AG18</f>
        <v>0</v>
      </c>
      <c r="AL18" s="886"/>
      <c r="AM18" s="887" t="s">
        <v>805</v>
      </c>
      <c r="AN18" s="906">
        <v>0</v>
      </c>
      <c r="AO18" s="687">
        <f>VLOOKUP(AM18,Düngemittel!$B$6:$E$64,2,FALSE)*(VLOOKUP(AM18,Düngemittel!$B$6:$E$64,3,FALSE))/100*AN18</f>
        <v>0</v>
      </c>
      <c r="AP18" s="687">
        <f>VLOOKUP(AM18,Düngemittel!$B$6:$E$64,2,FALSE)*AN18</f>
        <v>0</v>
      </c>
      <c r="AQ18" s="687">
        <f>VLOOKUP(AM18,Düngemittel!$B$6:$E$64,4,FALSE)*AN18</f>
        <v>0</v>
      </c>
      <c r="AS18" s="886"/>
      <c r="AT18" s="887" t="s">
        <v>805</v>
      </c>
      <c r="AU18" s="906">
        <v>0</v>
      </c>
      <c r="AV18" s="687">
        <f>VLOOKUP(AT18,Düngemittel!$B$6:$E$64,2,FALSE)*(VLOOKUP(AT18,Düngemittel!$B$6:$E$64,3,FALSE))/100*AU18</f>
        <v>0</v>
      </c>
      <c r="AW18" s="687">
        <f>VLOOKUP(AT18,Düngemittel!$B$6:$E$64,2,FALSE)*AU18</f>
        <v>0</v>
      </c>
      <c r="AX18" s="687">
        <f>VLOOKUP(AT18,Düngemittel!$B$6:$E$64,4,FALSE)*AU18</f>
        <v>0</v>
      </c>
      <c r="AZ18" s="886"/>
      <c r="BA18" s="887" t="s">
        <v>805</v>
      </c>
      <c r="BB18" s="906">
        <v>0</v>
      </c>
      <c r="BC18" s="687">
        <f>VLOOKUP(BA18,Düngemittel!$B$6:$E$64,2,FALSE)*(VLOOKUP(BA18,Düngemittel!$B$6:$E$64,3,FALSE))/100*BB18</f>
        <v>0</v>
      </c>
      <c r="BD18" s="687">
        <f>VLOOKUP(BA18,Düngemittel!$B$6:$E$64,2,FALSE)*BB18</f>
        <v>0</v>
      </c>
      <c r="BE18" s="687">
        <f>VLOOKUP(BA18,Düngemittel!$B$6:$E$64,4,FALSE)*BB18</f>
        <v>0</v>
      </c>
      <c r="BG18" s="853">
        <f t="shared" si="17"/>
        <v>0</v>
      </c>
      <c r="BH18" s="308">
        <f t="shared" si="18"/>
        <v>0</v>
      </c>
      <c r="BI18" s="853">
        <f t="shared" si="19"/>
        <v>0</v>
      </c>
      <c r="BJ18" s="777">
        <f t="shared" si="20"/>
        <v>0</v>
      </c>
      <c r="BK18" s="308">
        <f t="shared" si="21"/>
        <v>0</v>
      </c>
      <c r="BL18" s="83"/>
      <c r="BM18" s="686">
        <f t="shared" si="22"/>
        <v>0</v>
      </c>
      <c r="BN18" s="686">
        <f t="shared" si="23"/>
        <v>0</v>
      </c>
      <c r="BO18" s="686">
        <f t="shared" si="24"/>
        <v>0</v>
      </c>
      <c r="BP18" s="686">
        <f t="shared" si="25"/>
        <v>0</v>
      </c>
      <c r="BQ18" s="686">
        <f t="shared" si="26"/>
        <v>0</v>
      </c>
      <c r="BT18" s="351">
        <f t="shared" si="11"/>
        <v>0</v>
      </c>
      <c r="BU18" s="351">
        <f t="shared" si="12"/>
        <v>0</v>
      </c>
      <c r="BW18" s="124" t="s">
        <v>224</v>
      </c>
      <c r="BX18" s="124">
        <v>450</v>
      </c>
      <c r="BY18" s="124">
        <v>180</v>
      </c>
      <c r="BZ18" s="593">
        <v>0.2</v>
      </c>
      <c r="CA18" s="593">
        <v>0.2</v>
      </c>
      <c r="CB18" s="641">
        <v>60</v>
      </c>
      <c r="CC18" s="393">
        <v>0.14000000000000001</v>
      </c>
      <c r="CD18" s="352">
        <f t="shared" si="0"/>
        <v>63.000000000000007</v>
      </c>
      <c r="CE18" s="9"/>
      <c r="CF18" s="3"/>
    </row>
    <row r="19" spans="1:84" ht="26.25" customHeight="1" x14ac:dyDescent="0.25">
      <c r="A19" s="342"/>
      <c r="B19" s="1215"/>
      <c r="C19" s="600" t="s">
        <v>31</v>
      </c>
      <c r="D19" s="408">
        <f t="shared" si="1"/>
        <v>0</v>
      </c>
      <c r="E19" s="427">
        <f t="shared" si="2"/>
        <v>0</v>
      </c>
      <c r="F19" s="1206"/>
      <c r="G19" s="413">
        <f t="shared" si="3"/>
        <v>0</v>
      </c>
      <c r="H19" s="602" t="s">
        <v>510</v>
      </c>
      <c r="I19" s="427">
        <f t="shared" si="4"/>
        <v>0</v>
      </c>
      <c r="J19" s="430" t="s">
        <v>31</v>
      </c>
      <c r="K19" s="606">
        <f t="shared" si="5"/>
        <v>0</v>
      </c>
      <c r="L19" s="408">
        <f t="shared" si="6"/>
        <v>0</v>
      </c>
      <c r="M19" s="1209"/>
      <c r="N19" s="450" t="s">
        <v>160</v>
      </c>
      <c r="O19" s="427">
        <f t="shared" si="7"/>
        <v>0</v>
      </c>
      <c r="P19" s="1212"/>
      <c r="Q19" s="747">
        <f t="shared" si="13"/>
        <v>0</v>
      </c>
      <c r="R19" s="608">
        <f t="shared" si="8"/>
        <v>0</v>
      </c>
      <c r="S19" s="479">
        <f t="shared" si="9"/>
        <v>0</v>
      </c>
      <c r="T19" s="435">
        <f t="shared" si="14"/>
        <v>0</v>
      </c>
      <c r="V19" s="852">
        <f t="shared" si="15"/>
        <v>0</v>
      </c>
      <c r="W19" s="852" t="str">
        <f t="shared" si="16"/>
        <v>keine</v>
      </c>
      <c r="X19" s="886"/>
      <c r="Y19" s="887" t="s">
        <v>805</v>
      </c>
      <c r="Z19" s="906">
        <v>0</v>
      </c>
      <c r="AA19" s="687">
        <f>VLOOKUP(Y19,Düngemittel!$B$6:$E$64,2,FALSE)*(VLOOKUP(Y19,Düngemittel!$B$6:$E$64,3,FALSE))/100*Z19</f>
        <v>0</v>
      </c>
      <c r="AB19" s="687">
        <f>VLOOKUP(Y19,Düngemittel!$B$6:$E$64,2,FALSE)*Z19</f>
        <v>0</v>
      </c>
      <c r="AC19" s="687">
        <f>VLOOKUP(Y19,Düngemittel!$B$6:$E$64,4,FALSE)*Z19</f>
        <v>0</v>
      </c>
      <c r="AE19" s="886"/>
      <c r="AF19" s="887" t="s">
        <v>805</v>
      </c>
      <c r="AG19" s="906">
        <v>0</v>
      </c>
      <c r="AH19" s="687">
        <f>VLOOKUP(AF19,Düngemittel!$B$6:$E$64,2,FALSE)*(VLOOKUP(AF19,Düngemittel!$B$6:$E$64,3,FALSE))/100*AG19</f>
        <v>0</v>
      </c>
      <c r="AI19" s="687">
        <f>VLOOKUP(AF19,Düngemittel!$B$6:$E$64,2,FALSE)*AG19</f>
        <v>0</v>
      </c>
      <c r="AJ19" s="687">
        <f>VLOOKUP(AF19,Düngemittel!$B$6:$E$64,4,FALSE)*AG19</f>
        <v>0</v>
      </c>
      <c r="AL19" s="886"/>
      <c r="AM19" s="887" t="s">
        <v>805</v>
      </c>
      <c r="AN19" s="906">
        <v>0</v>
      </c>
      <c r="AO19" s="687">
        <f>VLOOKUP(AM19,Düngemittel!$B$6:$E$64,2,FALSE)*(VLOOKUP(AM19,Düngemittel!$B$6:$E$64,3,FALSE))/100*AN19</f>
        <v>0</v>
      </c>
      <c r="AP19" s="687">
        <f>VLOOKUP(AM19,Düngemittel!$B$6:$E$64,2,FALSE)*AN19</f>
        <v>0</v>
      </c>
      <c r="AQ19" s="687">
        <f>VLOOKUP(AM19,Düngemittel!$B$6:$E$64,4,FALSE)*AN19</f>
        <v>0</v>
      </c>
      <c r="AS19" s="886"/>
      <c r="AT19" s="887" t="s">
        <v>805</v>
      </c>
      <c r="AU19" s="906">
        <v>0</v>
      </c>
      <c r="AV19" s="687">
        <f>VLOOKUP(AT19,Düngemittel!$B$6:$E$64,2,FALSE)*(VLOOKUP(AT19,Düngemittel!$B$6:$E$64,3,FALSE))/100*AU19</f>
        <v>0</v>
      </c>
      <c r="AW19" s="687">
        <f>VLOOKUP(AT19,Düngemittel!$B$6:$E$64,2,FALSE)*AU19</f>
        <v>0</v>
      </c>
      <c r="AX19" s="687">
        <f>VLOOKUP(AT19,Düngemittel!$B$6:$E$64,4,FALSE)*AU19</f>
        <v>0</v>
      </c>
      <c r="AZ19" s="886"/>
      <c r="BA19" s="887" t="s">
        <v>805</v>
      </c>
      <c r="BB19" s="906">
        <v>0</v>
      </c>
      <c r="BC19" s="687">
        <f>VLOOKUP(BA19,Düngemittel!$B$6:$E$64,2,FALSE)*(VLOOKUP(BA19,Düngemittel!$B$6:$E$64,3,FALSE))/100*BB19</f>
        <v>0</v>
      </c>
      <c r="BD19" s="687">
        <f>VLOOKUP(BA19,Düngemittel!$B$6:$E$64,2,FALSE)*BB19</f>
        <v>0</v>
      </c>
      <c r="BE19" s="687">
        <f>VLOOKUP(BA19,Düngemittel!$B$6:$E$64,4,FALSE)*BB19</f>
        <v>0</v>
      </c>
      <c r="BG19" s="853">
        <f t="shared" si="17"/>
        <v>0</v>
      </c>
      <c r="BH19" s="308">
        <f t="shared" si="18"/>
        <v>0</v>
      </c>
      <c r="BI19" s="853">
        <f t="shared" si="19"/>
        <v>0</v>
      </c>
      <c r="BJ19" s="777">
        <f t="shared" si="20"/>
        <v>0</v>
      </c>
      <c r="BK19" s="308">
        <f t="shared" si="21"/>
        <v>0</v>
      </c>
      <c r="BL19" s="83"/>
      <c r="BM19" s="686">
        <f t="shared" si="22"/>
        <v>0</v>
      </c>
      <c r="BN19" s="686">
        <f t="shared" si="23"/>
        <v>0</v>
      </c>
      <c r="BO19" s="686">
        <f t="shared" si="24"/>
        <v>0</v>
      </c>
      <c r="BP19" s="686">
        <f t="shared" si="25"/>
        <v>0</v>
      </c>
      <c r="BQ19" s="686">
        <f t="shared" si="26"/>
        <v>0</v>
      </c>
      <c r="BT19" s="351">
        <f t="shared" si="11"/>
        <v>0</v>
      </c>
      <c r="BU19" s="351">
        <f t="shared" si="12"/>
        <v>0</v>
      </c>
      <c r="BW19" s="124" t="s">
        <v>31</v>
      </c>
      <c r="BX19" s="124">
        <v>0</v>
      </c>
      <c r="BY19" s="124">
        <v>0</v>
      </c>
      <c r="BZ19" s="124">
        <v>0</v>
      </c>
      <c r="CA19" s="124">
        <v>0</v>
      </c>
      <c r="CB19" s="641">
        <v>0</v>
      </c>
      <c r="CC19" s="393">
        <v>0</v>
      </c>
      <c r="CD19" s="352">
        <f t="shared" si="0"/>
        <v>0</v>
      </c>
      <c r="CE19" s="9"/>
      <c r="CF19" s="3"/>
    </row>
    <row r="20" spans="1:84" ht="26.25" customHeight="1" x14ac:dyDescent="0.25">
      <c r="A20" s="342"/>
      <c r="B20" s="1215"/>
      <c r="C20" s="600" t="s">
        <v>31</v>
      </c>
      <c r="D20" s="408">
        <f t="shared" si="1"/>
        <v>0</v>
      </c>
      <c r="E20" s="427">
        <f t="shared" si="2"/>
        <v>0</v>
      </c>
      <c r="F20" s="1206"/>
      <c r="G20" s="413">
        <f t="shared" si="3"/>
        <v>0</v>
      </c>
      <c r="H20" s="602" t="s">
        <v>510</v>
      </c>
      <c r="I20" s="427">
        <f t="shared" si="4"/>
        <v>0</v>
      </c>
      <c r="J20" s="430" t="s">
        <v>31</v>
      </c>
      <c r="K20" s="606">
        <f t="shared" si="5"/>
        <v>0</v>
      </c>
      <c r="L20" s="408">
        <f t="shared" si="6"/>
        <v>0</v>
      </c>
      <c r="M20" s="1209"/>
      <c r="N20" s="450" t="s">
        <v>160</v>
      </c>
      <c r="O20" s="427">
        <f t="shared" si="7"/>
        <v>0</v>
      </c>
      <c r="P20" s="1212"/>
      <c r="Q20" s="747">
        <f t="shared" si="13"/>
        <v>0</v>
      </c>
      <c r="R20" s="608">
        <f t="shared" si="8"/>
        <v>0</v>
      </c>
      <c r="S20" s="479">
        <f t="shared" si="9"/>
        <v>0</v>
      </c>
      <c r="T20" s="435">
        <f t="shared" si="14"/>
        <v>0</v>
      </c>
      <c r="V20" s="852">
        <f t="shared" si="15"/>
        <v>0</v>
      </c>
      <c r="W20" s="852" t="str">
        <f t="shared" si="16"/>
        <v>keine</v>
      </c>
      <c r="X20" s="886"/>
      <c r="Y20" s="887" t="s">
        <v>805</v>
      </c>
      <c r="Z20" s="906">
        <v>0</v>
      </c>
      <c r="AA20" s="687">
        <f>VLOOKUP(Y20,Düngemittel!$B$6:$E$64,2,FALSE)*(VLOOKUP(Y20,Düngemittel!$B$6:$E$64,3,FALSE))/100*Z20</f>
        <v>0</v>
      </c>
      <c r="AB20" s="687">
        <f>VLOOKUP(Y20,Düngemittel!$B$6:$E$64,2,FALSE)*Z20</f>
        <v>0</v>
      </c>
      <c r="AC20" s="687">
        <f>VLOOKUP(Y20,Düngemittel!$B$6:$E$64,4,FALSE)*Z20</f>
        <v>0</v>
      </c>
      <c r="AE20" s="886"/>
      <c r="AF20" s="887" t="s">
        <v>805</v>
      </c>
      <c r="AG20" s="906">
        <v>0</v>
      </c>
      <c r="AH20" s="687">
        <f>VLOOKUP(AF20,Düngemittel!$B$6:$E$64,2,FALSE)*(VLOOKUP(AF20,Düngemittel!$B$6:$E$64,3,FALSE))/100*AG20</f>
        <v>0</v>
      </c>
      <c r="AI20" s="687">
        <f>VLOOKUP(AF20,Düngemittel!$B$6:$E$64,2,FALSE)*AG20</f>
        <v>0</v>
      </c>
      <c r="AJ20" s="687">
        <f>VLOOKUP(AF20,Düngemittel!$B$6:$E$64,4,FALSE)*AG20</f>
        <v>0</v>
      </c>
      <c r="AL20" s="886"/>
      <c r="AM20" s="887" t="s">
        <v>805</v>
      </c>
      <c r="AN20" s="906">
        <v>0</v>
      </c>
      <c r="AO20" s="687">
        <f>VLOOKUP(AM20,Düngemittel!$B$6:$E$64,2,FALSE)*(VLOOKUP(AM20,Düngemittel!$B$6:$E$64,3,FALSE))/100*AN20</f>
        <v>0</v>
      </c>
      <c r="AP20" s="687">
        <f>VLOOKUP(AM20,Düngemittel!$B$6:$E$64,2,FALSE)*AN20</f>
        <v>0</v>
      </c>
      <c r="AQ20" s="687">
        <f>VLOOKUP(AM20,Düngemittel!$B$6:$E$64,4,FALSE)*AN20</f>
        <v>0</v>
      </c>
      <c r="AS20" s="886"/>
      <c r="AT20" s="887" t="s">
        <v>805</v>
      </c>
      <c r="AU20" s="906">
        <v>0</v>
      </c>
      <c r="AV20" s="687">
        <f>VLOOKUP(AT20,Düngemittel!$B$6:$E$64,2,FALSE)*(VLOOKUP(AT20,Düngemittel!$B$6:$E$64,3,FALSE))/100*AU20</f>
        <v>0</v>
      </c>
      <c r="AW20" s="687">
        <f>VLOOKUP(AT20,Düngemittel!$B$6:$E$64,2,FALSE)*AU20</f>
        <v>0</v>
      </c>
      <c r="AX20" s="687">
        <f>VLOOKUP(AT20,Düngemittel!$B$6:$E$64,4,FALSE)*AU20</f>
        <v>0</v>
      </c>
      <c r="AZ20" s="886"/>
      <c r="BA20" s="887" t="s">
        <v>805</v>
      </c>
      <c r="BB20" s="906">
        <v>0</v>
      </c>
      <c r="BC20" s="687">
        <f>VLOOKUP(BA20,Düngemittel!$B$6:$E$64,2,FALSE)*(VLOOKUP(BA20,Düngemittel!$B$6:$E$64,3,FALSE))/100*BB20</f>
        <v>0</v>
      </c>
      <c r="BD20" s="687">
        <f>VLOOKUP(BA20,Düngemittel!$B$6:$E$64,2,FALSE)*BB20</f>
        <v>0</v>
      </c>
      <c r="BE20" s="687">
        <f>VLOOKUP(BA20,Düngemittel!$B$6:$E$64,4,FALSE)*BB20</f>
        <v>0</v>
      </c>
      <c r="BG20" s="853">
        <f t="shared" si="17"/>
        <v>0</v>
      </c>
      <c r="BH20" s="308">
        <f t="shared" si="18"/>
        <v>0</v>
      </c>
      <c r="BI20" s="853">
        <f t="shared" si="19"/>
        <v>0</v>
      </c>
      <c r="BJ20" s="777">
        <f t="shared" si="20"/>
        <v>0</v>
      </c>
      <c r="BK20" s="308">
        <f t="shared" si="21"/>
        <v>0</v>
      </c>
      <c r="BL20" s="83"/>
      <c r="BM20" s="686">
        <f t="shared" si="22"/>
        <v>0</v>
      </c>
      <c r="BN20" s="686">
        <f t="shared" si="23"/>
        <v>0</v>
      </c>
      <c r="BO20" s="686">
        <f t="shared" si="24"/>
        <v>0</v>
      </c>
      <c r="BP20" s="686">
        <f t="shared" si="25"/>
        <v>0</v>
      </c>
      <c r="BQ20" s="686">
        <f t="shared" si="26"/>
        <v>0</v>
      </c>
      <c r="BT20" s="351">
        <f t="shared" si="11"/>
        <v>0</v>
      </c>
      <c r="BU20" s="351">
        <f t="shared" si="12"/>
        <v>0</v>
      </c>
      <c r="BW20" s="240" t="s">
        <v>689</v>
      </c>
      <c r="BX20" s="240">
        <v>250</v>
      </c>
      <c r="BY20" s="240">
        <v>185</v>
      </c>
      <c r="BZ20" s="240">
        <v>0.2</v>
      </c>
      <c r="CA20" s="240">
        <v>0.3</v>
      </c>
      <c r="CB20" s="641">
        <v>60</v>
      </c>
      <c r="CC20" s="393">
        <v>0.2</v>
      </c>
      <c r="CD20" s="352">
        <f t="shared" si="0"/>
        <v>50</v>
      </c>
      <c r="CE20" s="9"/>
      <c r="CF20" s="3"/>
    </row>
    <row r="21" spans="1:84" ht="26.25" customHeight="1" x14ac:dyDescent="0.25">
      <c r="A21" s="342"/>
      <c r="B21" s="1215"/>
      <c r="C21" s="600" t="s">
        <v>31</v>
      </c>
      <c r="D21" s="408">
        <f t="shared" si="1"/>
        <v>0</v>
      </c>
      <c r="E21" s="427">
        <f t="shared" si="2"/>
        <v>0</v>
      </c>
      <c r="F21" s="1206"/>
      <c r="G21" s="413">
        <f t="shared" si="3"/>
        <v>0</v>
      </c>
      <c r="H21" s="602" t="s">
        <v>510</v>
      </c>
      <c r="I21" s="427">
        <f t="shared" si="4"/>
        <v>0</v>
      </c>
      <c r="J21" s="430" t="s">
        <v>31</v>
      </c>
      <c r="K21" s="606">
        <f t="shared" si="5"/>
        <v>0</v>
      </c>
      <c r="L21" s="408">
        <f t="shared" si="6"/>
        <v>0</v>
      </c>
      <c r="M21" s="1209"/>
      <c r="N21" s="450" t="s">
        <v>160</v>
      </c>
      <c r="O21" s="427">
        <f t="shared" si="7"/>
        <v>0</v>
      </c>
      <c r="P21" s="1212"/>
      <c r="Q21" s="747">
        <f t="shared" si="13"/>
        <v>0</v>
      </c>
      <c r="R21" s="608">
        <f t="shared" si="8"/>
        <v>0</v>
      </c>
      <c r="S21" s="479">
        <f t="shared" si="9"/>
        <v>0</v>
      </c>
      <c r="T21" s="435">
        <f t="shared" si="14"/>
        <v>0</v>
      </c>
      <c r="V21" s="852">
        <f t="shared" si="15"/>
        <v>0</v>
      </c>
      <c r="W21" s="852" t="str">
        <f t="shared" si="16"/>
        <v>keine</v>
      </c>
      <c r="X21" s="886"/>
      <c r="Y21" s="887" t="s">
        <v>805</v>
      </c>
      <c r="Z21" s="906">
        <v>0</v>
      </c>
      <c r="AA21" s="687">
        <f>VLOOKUP(Y21,Düngemittel!$B$6:$E$64,2,FALSE)*(VLOOKUP(Y21,Düngemittel!$B$6:$E$64,3,FALSE))/100*Z21</f>
        <v>0</v>
      </c>
      <c r="AB21" s="687">
        <f>VLOOKUP(Y21,Düngemittel!$B$6:$E$64,2,FALSE)*Z21</f>
        <v>0</v>
      </c>
      <c r="AC21" s="687">
        <f>VLOOKUP(Y21,Düngemittel!$B$6:$E$64,4,FALSE)*Z21</f>
        <v>0</v>
      </c>
      <c r="AE21" s="886"/>
      <c r="AF21" s="887" t="s">
        <v>805</v>
      </c>
      <c r="AG21" s="906">
        <v>0</v>
      </c>
      <c r="AH21" s="687">
        <f>VLOOKUP(AF21,Düngemittel!$B$6:$E$64,2,FALSE)*(VLOOKUP(AF21,Düngemittel!$B$6:$E$64,3,FALSE))/100*AG21</f>
        <v>0</v>
      </c>
      <c r="AI21" s="687">
        <f>VLOOKUP(AF21,Düngemittel!$B$6:$E$64,2,FALSE)*AG21</f>
        <v>0</v>
      </c>
      <c r="AJ21" s="687">
        <f>VLOOKUP(AF21,Düngemittel!$B$6:$E$64,4,FALSE)*AG21</f>
        <v>0</v>
      </c>
      <c r="AL21" s="886"/>
      <c r="AM21" s="887" t="s">
        <v>805</v>
      </c>
      <c r="AN21" s="906">
        <v>0</v>
      </c>
      <c r="AO21" s="687">
        <f>VLOOKUP(AM21,Düngemittel!$B$6:$E$64,2,FALSE)*(VLOOKUP(AM21,Düngemittel!$B$6:$E$64,3,FALSE))/100*AN21</f>
        <v>0</v>
      </c>
      <c r="AP21" s="687">
        <f>VLOOKUP(AM21,Düngemittel!$B$6:$E$64,2,FALSE)*AN21</f>
        <v>0</v>
      </c>
      <c r="AQ21" s="687">
        <f>VLOOKUP(AM21,Düngemittel!$B$6:$E$64,4,FALSE)*AN21</f>
        <v>0</v>
      </c>
      <c r="AS21" s="886"/>
      <c r="AT21" s="887" t="s">
        <v>805</v>
      </c>
      <c r="AU21" s="906">
        <v>0</v>
      </c>
      <c r="AV21" s="687">
        <f>VLOOKUP(AT21,Düngemittel!$B$6:$E$64,2,FALSE)*(VLOOKUP(AT21,Düngemittel!$B$6:$E$64,3,FALSE))/100*AU21</f>
        <v>0</v>
      </c>
      <c r="AW21" s="687">
        <f>VLOOKUP(AT21,Düngemittel!$B$6:$E$64,2,FALSE)*AU21</f>
        <v>0</v>
      </c>
      <c r="AX21" s="687">
        <f>VLOOKUP(AT21,Düngemittel!$B$6:$E$64,4,FALSE)*AU21</f>
        <v>0</v>
      </c>
      <c r="AZ21" s="886"/>
      <c r="BA21" s="887" t="s">
        <v>805</v>
      </c>
      <c r="BB21" s="906">
        <v>0</v>
      </c>
      <c r="BC21" s="687">
        <f>VLOOKUP(BA21,Düngemittel!$B$6:$E$64,2,FALSE)*(VLOOKUP(BA21,Düngemittel!$B$6:$E$64,3,FALSE))/100*BB21</f>
        <v>0</v>
      </c>
      <c r="BD21" s="687">
        <f>VLOOKUP(BA21,Düngemittel!$B$6:$E$64,2,FALSE)*BB21</f>
        <v>0</v>
      </c>
      <c r="BE21" s="687">
        <f>VLOOKUP(BA21,Düngemittel!$B$6:$E$64,4,FALSE)*BB21</f>
        <v>0</v>
      </c>
      <c r="BG21" s="853">
        <f t="shared" si="17"/>
        <v>0</v>
      </c>
      <c r="BH21" s="308">
        <f t="shared" si="18"/>
        <v>0</v>
      </c>
      <c r="BI21" s="853">
        <f t="shared" si="19"/>
        <v>0</v>
      </c>
      <c r="BJ21" s="777">
        <f t="shared" si="20"/>
        <v>0</v>
      </c>
      <c r="BK21" s="308">
        <f t="shared" si="21"/>
        <v>0</v>
      </c>
      <c r="BL21" s="83"/>
      <c r="BM21" s="686">
        <f t="shared" si="22"/>
        <v>0</v>
      </c>
      <c r="BN21" s="686">
        <f t="shared" si="23"/>
        <v>0</v>
      </c>
      <c r="BO21" s="686">
        <f t="shared" si="24"/>
        <v>0</v>
      </c>
      <c r="BP21" s="686">
        <f t="shared" si="25"/>
        <v>0</v>
      </c>
      <c r="BQ21" s="686">
        <f t="shared" si="26"/>
        <v>0</v>
      </c>
      <c r="BT21" s="351">
        <f t="shared" si="11"/>
        <v>0</v>
      </c>
      <c r="BU21" s="351">
        <f t="shared" si="12"/>
        <v>0</v>
      </c>
      <c r="BW21" s="580" t="s">
        <v>761</v>
      </c>
      <c r="BX21" s="580">
        <v>50</v>
      </c>
      <c r="BY21" s="580">
        <v>130</v>
      </c>
      <c r="BZ21" s="580">
        <v>1</v>
      </c>
      <c r="CA21" s="580">
        <v>1.5</v>
      </c>
      <c r="CB21" s="641">
        <v>60</v>
      </c>
      <c r="CC21" s="393">
        <v>0.8</v>
      </c>
      <c r="CD21" s="352">
        <f t="shared" si="0"/>
        <v>40</v>
      </c>
      <c r="CE21" s="9"/>
      <c r="CF21" s="3"/>
    </row>
    <row r="22" spans="1:84" ht="26.25" customHeight="1" x14ac:dyDescent="0.25">
      <c r="A22" s="342"/>
      <c r="B22" s="1215"/>
      <c r="C22" s="600" t="s">
        <v>31</v>
      </c>
      <c r="D22" s="408">
        <f t="shared" si="1"/>
        <v>0</v>
      </c>
      <c r="E22" s="427">
        <f t="shared" si="2"/>
        <v>0</v>
      </c>
      <c r="F22" s="1206"/>
      <c r="G22" s="413">
        <f t="shared" si="3"/>
        <v>0</v>
      </c>
      <c r="H22" s="602" t="s">
        <v>510</v>
      </c>
      <c r="I22" s="427">
        <f t="shared" si="4"/>
        <v>0</v>
      </c>
      <c r="J22" s="430" t="s">
        <v>31</v>
      </c>
      <c r="K22" s="606">
        <f t="shared" si="5"/>
        <v>0</v>
      </c>
      <c r="L22" s="408">
        <f t="shared" si="6"/>
        <v>0</v>
      </c>
      <c r="M22" s="1209"/>
      <c r="N22" s="450" t="s">
        <v>160</v>
      </c>
      <c r="O22" s="427">
        <f t="shared" si="7"/>
        <v>0</v>
      </c>
      <c r="P22" s="1212"/>
      <c r="Q22" s="747">
        <f t="shared" si="13"/>
        <v>0</v>
      </c>
      <c r="R22" s="608">
        <f t="shared" si="8"/>
        <v>0</v>
      </c>
      <c r="S22" s="479">
        <f t="shared" si="9"/>
        <v>0</v>
      </c>
      <c r="T22" s="435">
        <f t="shared" si="14"/>
        <v>0</v>
      </c>
      <c r="V22" s="852">
        <f t="shared" si="15"/>
        <v>0</v>
      </c>
      <c r="W22" s="852" t="str">
        <f t="shared" si="16"/>
        <v>keine</v>
      </c>
      <c r="X22" s="886"/>
      <c r="Y22" s="887" t="s">
        <v>805</v>
      </c>
      <c r="Z22" s="906">
        <v>0</v>
      </c>
      <c r="AA22" s="687">
        <f>VLOOKUP(Y22,Düngemittel!$B$6:$E$64,2,FALSE)*(VLOOKUP(Y22,Düngemittel!$B$6:$E$64,3,FALSE))/100*Z22</f>
        <v>0</v>
      </c>
      <c r="AB22" s="687">
        <f>VLOOKUP(Y22,Düngemittel!$B$6:$E$64,2,FALSE)*Z22</f>
        <v>0</v>
      </c>
      <c r="AC22" s="687">
        <f>VLOOKUP(Y22,Düngemittel!$B$6:$E$64,4,FALSE)*Z22</f>
        <v>0</v>
      </c>
      <c r="AE22" s="886"/>
      <c r="AF22" s="887" t="s">
        <v>805</v>
      </c>
      <c r="AG22" s="906">
        <v>0</v>
      </c>
      <c r="AH22" s="687">
        <f>VLOOKUP(AF22,Düngemittel!$B$6:$E$64,2,FALSE)*(VLOOKUP(AF22,Düngemittel!$B$6:$E$64,3,FALSE))/100*AG22</f>
        <v>0</v>
      </c>
      <c r="AI22" s="687">
        <f>VLOOKUP(AF22,Düngemittel!$B$6:$E$64,2,FALSE)*AG22</f>
        <v>0</v>
      </c>
      <c r="AJ22" s="687">
        <f>VLOOKUP(AF22,Düngemittel!$B$6:$E$64,4,FALSE)*AG22</f>
        <v>0</v>
      </c>
      <c r="AL22" s="886"/>
      <c r="AM22" s="887" t="s">
        <v>805</v>
      </c>
      <c r="AN22" s="906">
        <v>0</v>
      </c>
      <c r="AO22" s="687">
        <f>VLOOKUP(AM22,Düngemittel!$B$6:$E$64,2,FALSE)*(VLOOKUP(AM22,Düngemittel!$B$6:$E$64,3,FALSE))/100*AN22</f>
        <v>0</v>
      </c>
      <c r="AP22" s="687">
        <f>VLOOKUP(AM22,Düngemittel!$B$6:$E$64,2,FALSE)*AN22</f>
        <v>0</v>
      </c>
      <c r="AQ22" s="687">
        <f>VLOOKUP(AM22,Düngemittel!$B$6:$E$64,4,FALSE)*AN22</f>
        <v>0</v>
      </c>
      <c r="AS22" s="886"/>
      <c r="AT22" s="887" t="s">
        <v>805</v>
      </c>
      <c r="AU22" s="906">
        <v>0</v>
      </c>
      <c r="AV22" s="687">
        <f>VLOOKUP(AT22,Düngemittel!$B$6:$E$64,2,FALSE)*(VLOOKUP(AT22,Düngemittel!$B$6:$E$64,3,FALSE))/100*AU22</f>
        <v>0</v>
      </c>
      <c r="AW22" s="687">
        <f>VLOOKUP(AT22,Düngemittel!$B$6:$E$64,2,FALSE)*AU22</f>
        <v>0</v>
      </c>
      <c r="AX22" s="687">
        <f>VLOOKUP(AT22,Düngemittel!$B$6:$E$64,4,FALSE)*AU22</f>
        <v>0</v>
      </c>
      <c r="AZ22" s="886"/>
      <c r="BA22" s="887" t="s">
        <v>805</v>
      </c>
      <c r="BB22" s="906">
        <v>0</v>
      </c>
      <c r="BC22" s="687">
        <f>VLOOKUP(BA22,Düngemittel!$B$6:$E$64,2,FALSE)*(VLOOKUP(BA22,Düngemittel!$B$6:$E$64,3,FALSE))/100*BB22</f>
        <v>0</v>
      </c>
      <c r="BD22" s="687">
        <f>VLOOKUP(BA22,Düngemittel!$B$6:$E$64,2,FALSE)*BB22</f>
        <v>0</v>
      </c>
      <c r="BE22" s="687">
        <f>VLOOKUP(BA22,Düngemittel!$B$6:$E$64,4,FALSE)*BB22</f>
        <v>0</v>
      </c>
      <c r="BG22" s="853">
        <f t="shared" si="17"/>
        <v>0</v>
      </c>
      <c r="BH22" s="308">
        <f t="shared" si="18"/>
        <v>0</v>
      </c>
      <c r="BI22" s="853">
        <f t="shared" si="19"/>
        <v>0</v>
      </c>
      <c r="BJ22" s="777">
        <f t="shared" si="20"/>
        <v>0</v>
      </c>
      <c r="BK22" s="308">
        <f t="shared" si="21"/>
        <v>0</v>
      </c>
      <c r="BL22" s="83"/>
      <c r="BM22" s="686">
        <f t="shared" si="22"/>
        <v>0</v>
      </c>
      <c r="BN22" s="686">
        <f t="shared" si="23"/>
        <v>0</v>
      </c>
      <c r="BO22" s="686">
        <f t="shared" si="24"/>
        <v>0</v>
      </c>
      <c r="BP22" s="686">
        <f t="shared" si="25"/>
        <v>0</v>
      </c>
      <c r="BQ22" s="686">
        <f t="shared" si="26"/>
        <v>0</v>
      </c>
      <c r="BT22" s="351">
        <f t="shared" si="11"/>
        <v>0</v>
      </c>
      <c r="BU22" s="351">
        <f t="shared" si="12"/>
        <v>0</v>
      </c>
      <c r="BW22" s="240" t="s">
        <v>704</v>
      </c>
      <c r="BX22" s="240">
        <v>40</v>
      </c>
      <c r="BY22" s="240">
        <v>60</v>
      </c>
      <c r="BZ22" s="240">
        <v>0</v>
      </c>
      <c r="CA22" s="240">
        <v>0</v>
      </c>
      <c r="CB22" s="393">
        <v>30</v>
      </c>
      <c r="CC22" s="393">
        <v>1.2</v>
      </c>
      <c r="CD22" s="352">
        <f t="shared" si="0"/>
        <v>48</v>
      </c>
      <c r="CE22" s="9"/>
      <c r="CF22" s="3"/>
    </row>
    <row r="23" spans="1:84" ht="26.25" customHeight="1" x14ac:dyDescent="0.25">
      <c r="A23" s="342"/>
      <c r="B23" s="1215"/>
      <c r="C23" s="600" t="s">
        <v>31</v>
      </c>
      <c r="D23" s="408">
        <f t="shared" si="1"/>
        <v>0</v>
      </c>
      <c r="E23" s="427">
        <f t="shared" si="2"/>
        <v>0</v>
      </c>
      <c r="F23" s="1206"/>
      <c r="G23" s="413">
        <f t="shared" si="3"/>
        <v>0</v>
      </c>
      <c r="H23" s="602" t="s">
        <v>510</v>
      </c>
      <c r="I23" s="427">
        <f t="shared" si="4"/>
        <v>0</v>
      </c>
      <c r="J23" s="430" t="s">
        <v>31</v>
      </c>
      <c r="K23" s="606">
        <f t="shared" si="5"/>
        <v>0</v>
      </c>
      <c r="L23" s="408">
        <f t="shared" si="6"/>
        <v>0</v>
      </c>
      <c r="M23" s="1209"/>
      <c r="N23" s="450" t="s">
        <v>160</v>
      </c>
      <c r="O23" s="427">
        <f t="shared" si="7"/>
        <v>0</v>
      </c>
      <c r="P23" s="1212"/>
      <c r="Q23" s="747">
        <f t="shared" si="13"/>
        <v>0</v>
      </c>
      <c r="R23" s="608">
        <f t="shared" si="8"/>
        <v>0</v>
      </c>
      <c r="S23" s="479">
        <f t="shared" si="9"/>
        <v>0</v>
      </c>
      <c r="T23" s="435">
        <f t="shared" si="14"/>
        <v>0</v>
      </c>
      <c r="V23" s="852">
        <f t="shared" si="15"/>
        <v>0</v>
      </c>
      <c r="W23" s="852" t="str">
        <f t="shared" si="16"/>
        <v>keine</v>
      </c>
      <c r="X23" s="886"/>
      <c r="Y23" s="887" t="s">
        <v>805</v>
      </c>
      <c r="Z23" s="906">
        <v>0</v>
      </c>
      <c r="AA23" s="687">
        <f>VLOOKUP(Y23,Düngemittel!$B$6:$E$64,2,FALSE)*(VLOOKUP(Y23,Düngemittel!$B$6:$E$64,3,FALSE))/100*Z23</f>
        <v>0</v>
      </c>
      <c r="AB23" s="687">
        <f>VLOOKUP(Y23,Düngemittel!$B$6:$E$64,2,FALSE)*Z23</f>
        <v>0</v>
      </c>
      <c r="AC23" s="687">
        <f>VLOOKUP(Y23,Düngemittel!$B$6:$E$64,4,FALSE)*Z23</f>
        <v>0</v>
      </c>
      <c r="AE23" s="886"/>
      <c r="AF23" s="887" t="s">
        <v>805</v>
      </c>
      <c r="AG23" s="906">
        <v>0</v>
      </c>
      <c r="AH23" s="687">
        <f>VLOOKUP(AF23,Düngemittel!$B$6:$E$64,2,FALSE)*(VLOOKUP(AF23,Düngemittel!$B$6:$E$64,3,FALSE))/100*AG23</f>
        <v>0</v>
      </c>
      <c r="AI23" s="687">
        <f>VLOOKUP(AF23,Düngemittel!$B$6:$E$64,2,FALSE)*AG23</f>
        <v>0</v>
      </c>
      <c r="AJ23" s="687">
        <f>VLOOKUP(AF23,Düngemittel!$B$6:$E$64,4,FALSE)*AG23</f>
        <v>0</v>
      </c>
      <c r="AL23" s="886"/>
      <c r="AM23" s="887" t="s">
        <v>805</v>
      </c>
      <c r="AN23" s="906">
        <v>0</v>
      </c>
      <c r="AO23" s="687">
        <f>VLOOKUP(AM23,Düngemittel!$B$6:$E$64,2,FALSE)*(VLOOKUP(AM23,Düngemittel!$B$6:$E$64,3,FALSE))/100*AN23</f>
        <v>0</v>
      </c>
      <c r="AP23" s="687">
        <f>VLOOKUP(AM23,Düngemittel!$B$6:$E$64,2,FALSE)*AN23</f>
        <v>0</v>
      </c>
      <c r="AQ23" s="687">
        <f>VLOOKUP(AM23,Düngemittel!$B$6:$E$64,4,FALSE)*AN23</f>
        <v>0</v>
      </c>
      <c r="AS23" s="886"/>
      <c r="AT23" s="887" t="s">
        <v>805</v>
      </c>
      <c r="AU23" s="906">
        <v>0</v>
      </c>
      <c r="AV23" s="687">
        <f>VLOOKUP(AT23,Düngemittel!$B$6:$E$64,2,FALSE)*(VLOOKUP(AT23,Düngemittel!$B$6:$E$64,3,FALSE))/100*AU23</f>
        <v>0</v>
      </c>
      <c r="AW23" s="687">
        <f>VLOOKUP(AT23,Düngemittel!$B$6:$E$64,2,FALSE)*AU23</f>
        <v>0</v>
      </c>
      <c r="AX23" s="687">
        <f>VLOOKUP(AT23,Düngemittel!$B$6:$E$64,4,FALSE)*AU23</f>
        <v>0</v>
      </c>
      <c r="AZ23" s="886"/>
      <c r="BA23" s="887" t="s">
        <v>805</v>
      </c>
      <c r="BB23" s="906">
        <v>0</v>
      </c>
      <c r="BC23" s="687">
        <f>VLOOKUP(BA23,Düngemittel!$B$6:$E$64,2,FALSE)*(VLOOKUP(BA23,Düngemittel!$B$6:$E$64,3,FALSE))/100*BB23</f>
        <v>0</v>
      </c>
      <c r="BD23" s="687">
        <f>VLOOKUP(BA23,Düngemittel!$B$6:$E$64,2,FALSE)*BB23</f>
        <v>0</v>
      </c>
      <c r="BE23" s="687">
        <f>VLOOKUP(BA23,Düngemittel!$B$6:$E$64,4,FALSE)*BB23</f>
        <v>0</v>
      </c>
      <c r="BG23" s="853">
        <f t="shared" si="17"/>
        <v>0</v>
      </c>
      <c r="BH23" s="308">
        <f t="shared" si="18"/>
        <v>0</v>
      </c>
      <c r="BI23" s="853">
        <f t="shared" si="19"/>
        <v>0</v>
      </c>
      <c r="BJ23" s="777">
        <f t="shared" si="20"/>
        <v>0</v>
      </c>
      <c r="BK23" s="308">
        <f t="shared" si="21"/>
        <v>0</v>
      </c>
      <c r="BL23" s="83"/>
      <c r="BM23" s="686">
        <f t="shared" si="22"/>
        <v>0</v>
      </c>
      <c r="BN23" s="686">
        <f t="shared" si="23"/>
        <v>0</v>
      </c>
      <c r="BO23" s="686">
        <f t="shared" si="24"/>
        <v>0</v>
      </c>
      <c r="BP23" s="686">
        <f t="shared" si="25"/>
        <v>0</v>
      </c>
      <c r="BQ23" s="686">
        <f t="shared" si="26"/>
        <v>0</v>
      </c>
      <c r="BT23" s="351">
        <f t="shared" si="11"/>
        <v>0</v>
      </c>
      <c r="BU23" s="351">
        <f t="shared" si="12"/>
        <v>0</v>
      </c>
      <c r="BW23" s="124" t="s">
        <v>695</v>
      </c>
      <c r="BX23" s="124">
        <v>90</v>
      </c>
      <c r="BY23" s="124">
        <v>200</v>
      </c>
      <c r="BZ23" s="124">
        <v>1</v>
      </c>
      <c r="CA23" s="124">
        <v>1.5</v>
      </c>
      <c r="CB23" s="641">
        <v>90</v>
      </c>
      <c r="CC23" s="393">
        <v>0.8</v>
      </c>
      <c r="CD23" s="352">
        <f t="shared" si="0"/>
        <v>72</v>
      </c>
    </row>
    <row r="24" spans="1:84" ht="26.25" customHeight="1" x14ac:dyDescent="0.25">
      <c r="A24" s="342"/>
      <c r="B24" s="1215"/>
      <c r="C24" s="600" t="s">
        <v>31</v>
      </c>
      <c r="D24" s="408">
        <f t="shared" si="1"/>
        <v>0</v>
      </c>
      <c r="E24" s="427">
        <f t="shared" si="2"/>
        <v>0</v>
      </c>
      <c r="F24" s="1206"/>
      <c r="G24" s="413">
        <f t="shared" si="3"/>
        <v>0</v>
      </c>
      <c r="H24" s="602" t="s">
        <v>510</v>
      </c>
      <c r="I24" s="427">
        <f t="shared" si="4"/>
        <v>0</v>
      </c>
      <c r="J24" s="430" t="s">
        <v>31</v>
      </c>
      <c r="K24" s="606">
        <f t="shared" si="5"/>
        <v>0</v>
      </c>
      <c r="L24" s="408">
        <f t="shared" si="6"/>
        <v>0</v>
      </c>
      <c r="M24" s="1209"/>
      <c r="N24" s="450" t="s">
        <v>160</v>
      </c>
      <c r="O24" s="427">
        <f t="shared" si="7"/>
        <v>0</v>
      </c>
      <c r="P24" s="1212"/>
      <c r="Q24" s="747">
        <f t="shared" si="13"/>
        <v>0</v>
      </c>
      <c r="R24" s="608">
        <f t="shared" si="8"/>
        <v>0</v>
      </c>
      <c r="S24" s="479">
        <f t="shared" si="9"/>
        <v>0</v>
      </c>
      <c r="T24" s="435">
        <f t="shared" si="14"/>
        <v>0</v>
      </c>
      <c r="V24" s="852">
        <f t="shared" si="15"/>
        <v>0</v>
      </c>
      <c r="W24" s="852" t="str">
        <f t="shared" si="16"/>
        <v>keine</v>
      </c>
      <c r="X24" s="886"/>
      <c r="Y24" s="887" t="s">
        <v>805</v>
      </c>
      <c r="Z24" s="906">
        <v>0</v>
      </c>
      <c r="AA24" s="687">
        <f>VLOOKUP(Y24,Düngemittel!$B$6:$E$64,2,FALSE)*(VLOOKUP(Y24,Düngemittel!$B$6:$E$64,3,FALSE))/100*Z24</f>
        <v>0</v>
      </c>
      <c r="AB24" s="687">
        <f>VLOOKUP(Y24,Düngemittel!$B$6:$E$64,2,FALSE)*Z24</f>
        <v>0</v>
      </c>
      <c r="AC24" s="687">
        <f>VLOOKUP(Y24,Düngemittel!$B$6:$E$64,4,FALSE)*Z24</f>
        <v>0</v>
      </c>
      <c r="AE24" s="886"/>
      <c r="AF24" s="887" t="s">
        <v>805</v>
      </c>
      <c r="AG24" s="906">
        <v>0</v>
      </c>
      <c r="AH24" s="687">
        <f>VLOOKUP(AF24,Düngemittel!$B$6:$E$64,2,FALSE)*(VLOOKUP(AF24,Düngemittel!$B$6:$E$64,3,FALSE))/100*AG24</f>
        <v>0</v>
      </c>
      <c r="AI24" s="687">
        <f>VLOOKUP(AF24,Düngemittel!$B$6:$E$64,2,FALSE)*AG24</f>
        <v>0</v>
      </c>
      <c r="AJ24" s="687">
        <f>VLOOKUP(AF24,Düngemittel!$B$6:$E$64,4,FALSE)*AG24</f>
        <v>0</v>
      </c>
      <c r="AL24" s="886"/>
      <c r="AM24" s="887" t="s">
        <v>805</v>
      </c>
      <c r="AN24" s="906">
        <v>0</v>
      </c>
      <c r="AO24" s="687">
        <f>VLOOKUP(AM24,Düngemittel!$B$6:$E$64,2,FALSE)*(VLOOKUP(AM24,Düngemittel!$B$6:$E$64,3,FALSE))/100*AN24</f>
        <v>0</v>
      </c>
      <c r="AP24" s="687">
        <f>VLOOKUP(AM24,Düngemittel!$B$6:$E$64,2,FALSE)*AN24</f>
        <v>0</v>
      </c>
      <c r="AQ24" s="687">
        <f>VLOOKUP(AM24,Düngemittel!$B$6:$E$64,4,FALSE)*AN24</f>
        <v>0</v>
      </c>
      <c r="AS24" s="886"/>
      <c r="AT24" s="887" t="s">
        <v>805</v>
      </c>
      <c r="AU24" s="906">
        <v>0</v>
      </c>
      <c r="AV24" s="687">
        <f>VLOOKUP(AT24,Düngemittel!$B$6:$E$64,2,FALSE)*(VLOOKUP(AT24,Düngemittel!$B$6:$E$64,3,FALSE))/100*AU24</f>
        <v>0</v>
      </c>
      <c r="AW24" s="687">
        <f>VLOOKUP(AT24,Düngemittel!$B$6:$E$64,2,FALSE)*AU24</f>
        <v>0</v>
      </c>
      <c r="AX24" s="687">
        <f>VLOOKUP(AT24,Düngemittel!$B$6:$E$64,4,FALSE)*AU24</f>
        <v>0</v>
      </c>
      <c r="AZ24" s="886"/>
      <c r="BA24" s="887" t="s">
        <v>805</v>
      </c>
      <c r="BB24" s="906">
        <v>0</v>
      </c>
      <c r="BC24" s="687">
        <f>VLOOKUP(BA24,Düngemittel!$B$6:$E$64,2,FALSE)*(VLOOKUP(BA24,Düngemittel!$B$6:$E$64,3,FALSE))/100*BB24</f>
        <v>0</v>
      </c>
      <c r="BD24" s="687">
        <f>VLOOKUP(BA24,Düngemittel!$B$6:$E$64,2,FALSE)*BB24</f>
        <v>0</v>
      </c>
      <c r="BE24" s="687">
        <f>VLOOKUP(BA24,Düngemittel!$B$6:$E$64,4,FALSE)*BB24</f>
        <v>0</v>
      </c>
      <c r="BG24" s="853">
        <f t="shared" si="17"/>
        <v>0</v>
      </c>
      <c r="BH24" s="308">
        <f t="shared" si="18"/>
        <v>0</v>
      </c>
      <c r="BI24" s="853">
        <f t="shared" si="19"/>
        <v>0</v>
      </c>
      <c r="BJ24" s="777">
        <f t="shared" si="20"/>
        <v>0</v>
      </c>
      <c r="BK24" s="308">
        <f t="shared" si="21"/>
        <v>0</v>
      </c>
      <c r="BL24" s="83"/>
      <c r="BM24" s="686">
        <f t="shared" si="22"/>
        <v>0</v>
      </c>
      <c r="BN24" s="686">
        <f t="shared" si="23"/>
        <v>0</v>
      </c>
      <c r="BO24" s="686">
        <f t="shared" si="24"/>
        <v>0</v>
      </c>
      <c r="BP24" s="686">
        <f t="shared" si="25"/>
        <v>0</v>
      </c>
      <c r="BQ24" s="686">
        <f t="shared" si="26"/>
        <v>0</v>
      </c>
      <c r="BT24" s="351">
        <f t="shared" si="11"/>
        <v>0</v>
      </c>
      <c r="BU24" s="351">
        <f t="shared" si="12"/>
        <v>0</v>
      </c>
      <c r="BW24" s="124" t="s">
        <v>479</v>
      </c>
      <c r="BX24" s="124">
        <v>400</v>
      </c>
      <c r="BY24" s="124">
        <v>140</v>
      </c>
      <c r="BZ24" s="124">
        <v>0.25</v>
      </c>
      <c r="CA24" s="124">
        <v>0.25</v>
      </c>
      <c r="CB24" s="641">
        <v>60</v>
      </c>
      <c r="CC24" s="393">
        <v>0.21</v>
      </c>
      <c r="CD24" s="352">
        <f t="shared" si="0"/>
        <v>84</v>
      </c>
    </row>
    <row r="25" spans="1:84" ht="26.25" customHeight="1" x14ac:dyDescent="0.25">
      <c r="A25" s="342"/>
      <c r="B25" s="1215"/>
      <c r="C25" s="600" t="s">
        <v>31</v>
      </c>
      <c r="D25" s="408">
        <f t="shared" si="1"/>
        <v>0</v>
      </c>
      <c r="E25" s="427">
        <f t="shared" si="2"/>
        <v>0</v>
      </c>
      <c r="F25" s="1206"/>
      <c r="G25" s="413">
        <f t="shared" si="3"/>
        <v>0</v>
      </c>
      <c r="H25" s="602" t="s">
        <v>510</v>
      </c>
      <c r="I25" s="427">
        <f t="shared" si="4"/>
        <v>0</v>
      </c>
      <c r="J25" s="430" t="s">
        <v>31</v>
      </c>
      <c r="K25" s="606">
        <f t="shared" si="5"/>
        <v>0</v>
      </c>
      <c r="L25" s="408">
        <f t="shared" si="6"/>
        <v>0</v>
      </c>
      <c r="M25" s="1209"/>
      <c r="N25" s="450" t="s">
        <v>160</v>
      </c>
      <c r="O25" s="427">
        <f t="shared" si="7"/>
        <v>0</v>
      </c>
      <c r="P25" s="1212"/>
      <c r="Q25" s="747">
        <f t="shared" si="13"/>
        <v>0</v>
      </c>
      <c r="R25" s="608">
        <f t="shared" si="8"/>
        <v>0</v>
      </c>
      <c r="S25" s="479">
        <f t="shared" si="9"/>
        <v>0</v>
      </c>
      <c r="T25" s="435">
        <f t="shared" si="14"/>
        <v>0</v>
      </c>
      <c r="V25" s="852">
        <f t="shared" si="15"/>
        <v>0</v>
      </c>
      <c r="W25" s="852" t="str">
        <f t="shared" si="16"/>
        <v>keine</v>
      </c>
      <c r="X25" s="886"/>
      <c r="Y25" s="887" t="s">
        <v>805</v>
      </c>
      <c r="Z25" s="906">
        <v>0</v>
      </c>
      <c r="AA25" s="687">
        <f>VLOOKUP(Y25,Düngemittel!$B$6:$E$64,2,FALSE)*(VLOOKUP(Y25,Düngemittel!$B$6:$E$64,3,FALSE))/100*Z25</f>
        <v>0</v>
      </c>
      <c r="AB25" s="687">
        <f>VLOOKUP(Y25,Düngemittel!$B$6:$E$64,2,FALSE)*Z25</f>
        <v>0</v>
      </c>
      <c r="AC25" s="687">
        <f>VLOOKUP(Y25,Düngemittel!$B$6:$E$64,4,FALSE)*Z25</f>
        <v>0</v>
      </c>
      <c r="AE25" s="886"/>
      <c r="AF25" s="887" t="s">
        <v>805</v>
      </c>
      <c r="AG25" s="906">
        <v>0</v>
      </c>
      <c r="AH25" s="687">
        <f>VLOOKUP(AF25,Düngemittel!$B$6:$E$64,2,FALSE)*(VLOOKUP(AF25,Düngemittel!$B$6:$E$64,3,FALSE))/100*AG25</f>
        <v>0</v>
      </c>
      <c r="AI25" s="687">
        <f>VLOOKUP(AF25,Düngemittel!$B$6:$E$64,2,FALSE)*AG25</f>
        <v>0</v>
      </c>
      <c r="AJ25" s="687">
        <f>VLOOKUP(AF25,Düngemittel!$B$6:$E$64,4,FALSE)*AG25</f>
        <v>0</v>
      </c>
      <c r="AL25" s="886"/>
      <c r="AM25" s="887" t="s">
        <v>805</v>
      </c>
      <c r="AN25" s="906">
        <v>0</v>
      </c>
      <c r="AO25" s="687">
        <f>VLOOKUP(AM25,Düngemittel!$B$6:$E$64,2,FALSE)*(VLOOKUP(AM25,Düngemittel!$B$6:$E$64,3,FALSE))/100*AN25</f>
        <v>0</v>
      </c>
      <c r="AP25" s="687">
        <f>VLOOKUP(AM25,Düngemittel!$B$6:$E$64,2,FALSE)*AN25</f>
        <v>0</v>
      </c>
      <c r="AQ25" s="687">
        <f>VLOOKUP(AM25,Düngemittel!$B$6:$E$64,4,FALSE)*AN25</f>
        <v>0</v>
      </c>
      <c r="AS25" s="886"/>
      <c r="AT25" s="887" t="s">
        <v>805</v>
      </c>
      <c r="AU25" s="906">
        <v>0</v>
      </c>
      <c r="AV25" s="687">
        <f>VLOOKUP(AT25,Düngemittel!$B$6:$E$64,2,FALSE)*(VLOOKUP(AT25,Düngemittel!$B$6:$E$64,3,FALSE))/100*AU25</f>
        <v>0</v>
      </c>
      <c r="AW25" s="687">
        <f>VLOOKUP(AT25,Düngemittel!$B$6:$E$64,2,FALSE)*AU25</f>
        <v>0</v>
      </c>
      <c r="AX25" s="687">
        <f>VLOOKUP(AT25,Düngemittel!$B$6:$E$64,4,FALSE)*AU25</f>
        <v>0</v>
      </c>
      <c r="AZ25" s="886"/>
      <c r="BA25" s="887" t="s">
        <v>805</v>
      </c>
      <c r="BB25" s="906">
        <v>0</v>
      </c>
      <c r="BC25" s="687">
        <f>VLOOKUP(BA25,Düngemittel!$B$6:$E$64,2,FALSE)*(VLOOKUP(BA25,Düngemittel!$B$6:$E$64,3,FALSE))/100*BB25</f>
        <v>0</v>
      </c>
      <c r="BD25" s="687">
        <f>VLOOKUP(BA25,Düngemittel!$B$6:$E$64,2,FALSE)*BB25</f>
        <v>0</v>
      </c>
      <c r="BE25" s="687">
        <f>VLOOKUP(BA25,Düngemittel!$B$6:$E$64,4,FALSE)*BB25</f>
        <v>0</v>
      </c>
      <c r="BG25" s="853">
        <f t="shared" si="17"/>
        <v>0</v>
      </c>
      <c r="BH25" s="308">
        <f t="shared" si="18"/>
        <v>0</v>
      </c>
      <c r="BI25" s="853">
        <f t="shared" si="19"/>
        <v>0</v>
      </c>
      <c r="BJ25" s="777">
        <f t="shared" si="20"/>
        <v>0</v>
      </c>
      <c r="BK25" s="308">
        <f t="shared" si="21"/>
        <v>0</v>
      </c>
      <c r="BL25" s="83"/>
      <c r="BM25" s="686">
        <f t="shared" si="22"/>
        <v>0</v>
      </c>
      <c r="BN25" s="686">
        <f t="shared" si="23"/>
        <v>0</v>
      </c>
      <c r="BO25" s="686">
        <f t="shared" si="24"/>
        <v>0</v>
      </c>
      <c r="BP25" s="686">
        <f t="shared" si="25"/>
        <v>0</v>
      </c>
      <c r="BQ25" s="686">
        <f t="shared" si="26"/>
        <v>0</v>
      </c>
      <c r="BT25" s="351">
        <f t="shared" si="11"/>
        <v>0</v>
      </c>
      <c r="BU25" s="351">
        <f t="shared" si="12"/>
        <v>0</v>
      </c>
      <c r="BW25" s="240" t="s">
        <v>705</v>
      </c>
      <c r="BX25" s="240">
        <v>20</v>
      </c>
      <c r="BY25" s="594">
        <v>110</v>
      </c>
      <c r="BZ25" s="594">
        <v>2</v>
      </c>
      <c r="CA25" s="594">
        <v>3</v>
      </c>
      <c r="CB25" s="641">
        <v>60</v>
      </c>
      <c r="CC25" s="393">
        <v>2</v>
      </c>
      <c r="CD25" s="352">
        <f t="shared" si="0"/>
        <v>40</v>
      </c>
    </row>
    <row r="26" spans="1:84" ht="26.25" customHeight="1" x14ac:dyDescent="0.25">
      <c r="A26" s="342"/>
      <c r="B26" s="1215"/>
      <c r="C26" s="600" t="s">
        <v>31</v>
      </c>
      <c r="D26" s="408">
        <f t="shared" si="1"/>
        <v>0</v>
      </c>
      <c r="E26" s="427">
        <f t="shared" si="2"/>
        <v>0</v>
      </c>
      <c r="F26" s="1206"/>
      <c r="G26" s="413">
        <f t="shared" si="3"/>
        <v>0</v>
      </c>
      <c r="H26" s="602" t="s">
        <v>510</v>
      </c>
      <c r="I26" s="427">
        <f t="shared" si="4"/>
        <v>0</v>
      </c>
      <c r="J26" s="430" t="s">
        <v>31</v>
      </c>
      <c r="K26" s="606">
        <f t="shared" si="5"/>
        <v>0</v>
      </c>
      <c r="L26" s="408">
        <f t="shared" si="6"/>
        <v>0</v>
      </c>
      <c r="M26" s="1209"/>
      <c r="N26" s="450" t="s">
        <v>160</v>
      </c>
      <c r="O26" s="427">
        <f t="shared" si="7"/>
        <v>0</v>
      </c>
      <c r="P26" s="1212"/>
      <c r="Q26" s="747">
        <f t="shared" si="13"/>
        <v>0</v>
      </c>
      <c r="R26" s="608">
        <f t="shared" si="8"/>
        <v>0</v>
      </c>
      <c r="S26" s="479">
        <f t="shared" si="9"/>
        <v>0</v>
      </c>
      <c r="T26" s="435">
        <f t="shared" si="14"/>
        <v>0</v>
      </c>
      <c r="V26" s="852">
        <f t="shared" si="15"/>
        <v>0</v>
      </c>
      <c r="W26" s="852" t="str">
        <f t="shared" si="16"/>
        <v>keine</v>
      </c>
      <c r="X26" s="886"/>
      <c r="Y26" s="887" t="s">
        <v>805</v>
      </c>
      <c r="Z26" s="906">
        <v>0</v>
      </c>
      <c r="AA26" s="687">
        <f>VLOOKUP(Y26,Düngemittel!$B$6:$E$64,2,FALSE)*(VLOOKUP(Y26,Düngemittel!$B$6:$E$64,3,FALSE))/100*Z26</f>
        <v>0</v>
      </c>
      <c r="AB26" s="687">
        <f>VLOOKUP(Y26,Düngemittel!$B$6:$E$64,2,FALSE)*Z26</f>
        <v>0</v>
      </c>
      <c r="AC26" s="687">
        <f>VLOOKUP(Y26,Düngemittel!$B$6:$E$64,4,FALSE)*Z26</f>
        <v>0</v>
      </c>
      <c r="AE26" s="886"/>
      <c r="AF26" s="887" t="s">
        <v>805</v>
      </c>
      <c r="AG26" s="906">
        <v>0</v>
      </c>
      <c r="AH26" s="687">
        <f>VLOOKUP(AF26,Düngemittel!$B$6:$E$64,2,FALSE)*(VLOOKUP(AF26,Düngemittel!$B$6:$E$64,3,FALSE))/100*AG26</f>
        <v>0</v>
      </c>
      <c r="AI26" s="687">
        <f>VLOOKUP(AF26,Düngemittel!$B$6:$E$64,2,FALSE)*AG26</f>
        <v>0</v>
      </c>
      <c r="AJ26" s="687">
        <f>VLOOKUP(AF26,Düngemittel!$B$6:$E$64,4,FALSE)*AG26</f>
        <v>0</v>
      </c>
      <c r="AL26" s="886"/>
      <c r="AM26" s="887" t="s">
        <v>805</v>
      </c>
      <c r="AN26" s="906">
        <v>0</v>
      </c>
      <c r="AO26" s="687">
        <f>VLOOKUP(AM26,Düngemittel!$B$6:$E$64,2,FALSE)*(VLOOKUP(AM26,Düngemittel!$B$6:$E$64,3,FALSE))/100*AN26</f>
        <v>0</v>
      </c>
      <c r="AP26" s="687">
        <f>VLOOKUP(AM26,Düngemittel!$B$6:$E$64,2,FALSE)*AN26</f>
        <v>0</v>
      </c>
      <c r="AQ26" s="687">
        <f>VLOOKUP(AM26,Düngemittel!$B$6:$E$64,4,FALSE)*AN26</f>
        <v>0</v>
      </c>
      <c r="AS26" s="886"/>
      <c r="AT26" s="887" t="s">
        <v>805</v>
      </c>
      <c r="AU26" s="906">
        <v>0</v>
      </c>
      <c r="AV26" s="687">
        <f>VLOOKUP(AT26,Düngemittel!$B$6:$E$64,2,FALSE)*(VLOOKUP(AT26,Düngemittel!$B$6:$E$64,3,FALSE))/100*AU26</f>
        <v>0</v>
      </c>
      <c r="AW26" s="687">
        <f>VLOOKUP(AT26,Düngemittel!$B$6:$E$64,2,FALSE)*AU26</f>
        <v>0</v>
      </c>
      <c r="AX26" s="687">
        <f>VLOOKUP(AT26,Düngemittel!$B$6:$E$64,4,FALSE)*AU26</f>
        <v>0</v>
      </c>
      <c r="AZ26" s="886"/>
      <c r="BA26" s="887" t="s">
        <v>805</v>
      </c>
      <c r="BB26" s="906">
        <v>0</v>
      </c>
      <c r="BC26" s="687">
        <f>VLOOKUP(BA26,Düngemittel!$B$6:$E$64,2,FALSE)*(VLOOKUP(BA26,Düngemittel!$B$6:$E$64,3,FALSE))/100*BB26</f>
        <v>0</v>
      </c>
      <c r="BD26" s="687">
        <f>VLOOKUP(BA26,Düngemittel!$B$6:$E$64,2,FALSE)*BB26</f>
        <v>0</v>
      </c>
      <c r="BE26" s="687">
        <f>VLOOKUP(BA26,Düngemittel!$B$6:$E$64,4,FALSE)*BB26</f>
        <v>0</v>
      </c>
      <c r="BG26" s="853">
        <f t="shared" si="17"/>
        <v>0</v>
      </c>
      <c r="BH26" s="308">
        <f t="shared" si="18"/>
        <v>0</v>
      </c>
      <c r="BI26" s="853">
        <f t="shared" si="19"/>
        <v>0</v>
      </c>
      <c r="BJ26" s="777">
        <f t="shared" si="20"/>
        <v>0</v>
      </c>
      <c r="BK26" s="308">
        <f t="shared" si="21"/>
        <v>0</v>
      </c>
      <c r="BL26" s="83"/>
      <c r="BM26" s="686">
        <f t="shared" si="22"/>
        <v>0</v>
      </c>
      <c r="BN26" s="686">
        <f t="shared" si="23"/>
        <v>0</v>
      </c>
      <c r="BO26" s="686">
        <f t="shared" si="24"/>
        <v>0</v>
      </c>
      <c r="BP26" s="686">
        <f t="shared" si="25"/>
        <v>0</v>
      </c>
      <c r="BQ26" s="686">
        <f t="shared" si="26"/>
        <v>0</v>
      </c>
      <c r="BT26" s="351">
        <f t="shared" si="11"/>
        <v>0</v>
      </c>
      <c r="BU26" s="351">
        <f t="shared" si="12"/>
        <v>0</v>
      </c>
      <c r="BV26" s="126"/>
      <c r="BW26" s="240" t="s">
        <v>763</v>
      </c>
      <c r="BX26" s="240">
        <v>850</v>
      </c>
      <c r="BY26" s="594">
        <v>220</v>
      </c>
      <c r="BZ26" s="595">
        <v>0.18</v>
      </c>
      <c r="CA26" s="595">
        <v>0.22</v>
      </c>
      <c r="CB26" s="641">
        <v>90</v>
      </c>
      <c r="CC26" s="393">
        <v>7.0000000000000007E-2</v>
      </c>
      <c r="CD26" s="352">
        <f t="shared" si="0"/>
        <v>59.500000000000007</v>
      </c>
    </row>
    <row r="27" spans="1:84" ht="26.25" customHeight="1" x14ac:dyDescent="0.25">
      <c r="A27" s="342"/>
      <c r="B27" s="1215"/>
      <c r="C27" s="600" t="s">
        <v>31</v>
      </c>
      <c r="D27" s="408">
        <f t="shared" si="1"/>
        <v>0</v>
      </c>
      <c r="E27" s="427">
        <f t="shared" si="2"/>
        <v>0</v>
      </c>
      <c r="F27" s="1206"/>
      <c r="G27" s="413">
        <f t="shared" si="3"/>
        <v>0</v>
      </c>
      <c r="H27" s="602" t="s">
        <v>510</v>
      </c>
      <c r="I27" s="427">
        <f t="shared" si="4"/>
        <v>0</v>
      </c>
      <c r="J27" s="430" t="s">
        <v>31</v>
      </c>
      <c r="K27" s="606">
        <f t="shared" si="5"/>
        <v>0</v>
      </c>
      <c r="L27" s="408">
        <f t="shared" si="6"/>
        <v>0</v>
      </c>
      <c r="M27" s="1209"/>
      <c r="N27" s="450" t="s">
        <v>160</v>
      </c>
      <c r="O27" s="427">
        <f t="shared" si="7"/>
        <v>0</v>
      </c>
      <c r="P27" s="1212"/>
      <c r="Q27" s="747">
        <f t="shared" si="13"/>
        <v>0</v>
      </c>
      <c r="R27" s="608">
        <f t="shared" si="8"/>
        <v>0</v>
      </c>
      <c r="S27" s="479">
        <f t="shared" si="9"/>
        <v>0</v>
      </c>
      <c r="T27" s="435">
        <f t="shared" si="14"/>
        <v>0</v>
      </c>
      <c r="V27" s="852">
        <f t="shared" si="15"/>
        <v>0</v>
      </c>
      <c r="W27" s="852" t="str">
        <f t="shared" si="16"/>
        <v>keine</v>
      </c>
      <c r="X27" s="886"/>
      <c r="Y27" s="887" t="s">
        <v>805</v>
      </c>
      <c r="Z27" s="906">
        <v>0</v>
      </c>
      <c r="AA27" s="687">
        <f>VLOOKUP(Y27,Düngemittel!$B$6:$E$64,2,FALSE)*(VLOOKUP(Y27,Düngemittel!$B$6:$E$64,3,FALSE))/100*Z27</f>
        <v>0</v>
      </c>
      <c r="AB27" s="687">
        <f>VLOOKUP(Y27,Düngemittel!$B$6:$E$64,2,FALSE)*Z27</f>
        <v>0</v>
      </c>
      <c r="AC27" s="687">
        <f>VLOOKUP(Y27,Düngemittel!$B$6:$E$64,4,FALSE)*Z27</f>
        <v>0</v>
      </c>
      <c r="AE27" s="886"/>
      <c r="AF27" s="887" t="s">
        <v>805</v>
      </c>
      <c r="AG27" s="906">
        <v>0</v>
      </c>
      <c r="AH27" s="687">
        <f>VLOOKUP(AF27,Düngemittel!$B$6:$E$64,2,FALSE)*(VLOOKUP(AF27,Düngemittel!$B$6:$E$64,3,FALSE))/100*AG27</f>
        <v>0</v>
      </c>
      <c r="AI27" s="687">
        <f>VLOOKUP(AF27,Düngemittel!$B$6:$E$64,2,FALSE)*AG27</f>
        <v>0</v>
      </c>
      <c r="AJ27" s="687">
        <f>VLOOKUP(AF27,Düngemittel!$B$6:$E$64,4,FALSE)*AG27</f>
        <v>0</v>
      </c>
      <c r="AL27" s="886"/>
      <c r="AM27" s="887" t="s">
        <v>805</v>
      </c>
      <c r="AN27" s="906">
        <v>0</v>
      </c>
      <c r="AO27" s="687">
        <f>VLOOKUP(AM27,Düngemittel!$B$6:$E$64,2,FALSE)*(VLOOKUP(AM27,Düngemittel!$B$6:$E$64,3,FALSE))/100*AN27</f>
        <v>0</v>
      </c>
      <c r="AP27" s="687">
        <f>VLOOKUP(AM27,Düngemittel!$B$6:$E$64,2,FALSE)*AN27</f>
        <v>0</v>
      </c>
      <c r="AQ27" s="687">
        <f>VLOOKUP(AM27,Düngemittel!$B$6:$E$64,4,FALSE)*AN27</f>
        <v>0</v>
      </c>
      <c r="AS27" s="886"/>
      <c r="AT27" s="887" t="s">
        <v>805</v>
      </c>
      <c r="AU27" s="906">
        <v>0</v>
      </c>
      <c r="AV27" s="687">
        <f>VLOOKUP(AT27,Düngemittel!$B$6:$E$64,2,FALSE)*(VLOOKUP(AT27,Düngemittel!$B$6:$E$64,3,FALSE))/100*AU27</f>
        <v>0</v>
      </c>
      <c r="AW27" s="687">
        <f>VLOOKUP(AT27,Düngemittel!$B$6:$E$64,2,FALSE)*AU27</f>
        <v>0</v>
      </c>
      <c r="AX27" s="687">
        <f>VLOOKUP(AT27,Düngemittel!$B$6:$E$64,4,FALSE)*AU27</f>
        <v>0</v>
      </c>
      <c r="AZ27" s="886"/>
      <c r="BA27" s="887" t="s">
        <v>805</v>
      </c>
      <c r="BB27" s="906">
        <v>0</v>
      </c>
      <c r="BC27" s="687">
        <f>VLOOKUP(BA27,Düngemittel!$B$6:$E$64,2,FALSE)*(VLOOKUP(BA27,Düngemittel!$B$6:$E$64,3,FALSE))/100*BB27</f>
        <v>0</v>
      </c>
      <c r="BD27" s="687">
        <f>VLOOKUP(BA27,Düngemittel!$B$6:$E$64,2,FALSE)*BB27</f>
        <v>0</v>
      </c>
      <c r="BE27" s="687">
        <f>VLOOKUP(BA27,Düngemittel!$B$6:$E$64,4,FALSE)*BB27</f>
        <v>0</v>
      </c>
      <c r="BG27" s="853">
        <f t="shared" si="17"/>
        <v>0</v>
      </c>
      <c r="BH27" s="308">
        <f t="shared" si="18"/>
        <v>0</v>
      </c>
      <c r="BI27" s="853">
        <f t="shared" si="19"/>
        <v>0</v>
      </c>
      <c r="BJ27" s="777">
        <f t="shared" si="20"/>
        <v>0</v>
      </c>
      <c r="BK27" s="308">
        <f t="shared" si="21"/>
        <v>0</v>
      </c>
      <c r="BL27" s="83"/>
      <c r="BM27" s="686">
        <f t="shared" si="22"/>
        <v>0</v>
      </c>
      <c r="BN27" s="686">
        <f t="shared" si="23"/>
        <v>0</v>
      </c>
      <c r="BO27" s="686">
        <f t="shared" si="24"/>
        <v>0</v>
      </c>
      <c r="BP27" s="686">
        <f t="shared" si="25"/>
        <v>0</v>
      </c>
      <c r="BQ27" s="686">
        <f t="shared" si="26"/>
        <v>0</v>
      </c>
      <c r="BT27" s="351">
        <f t="shared" si="11"/>
        <v>0</v>
      </c>
      <c r="BU27" s="351">
        <f t="shared" si="12"/>
        <v>0</v>
      </c>
      <c r="BW27" s="643" t="s">
        <v>772</v>
      </c>
      <c r="BX27" s="643">
        <v>200</v>
      </c>
      <c r="BY27" s="643">
        <v>100</v>
      </c>
      <c r="BZ27" s="643">
        <v>0.2</v>
      </c>
      <c r="CA27" s="643">
        <v>0.3</v>
      </c>
      <c r="CB27" s="641">
        <v>60</v>
      </c>
      <c r="CC27" s="393">
        <v>0.24</v>
      </c>
      <c r="CD27" s="352">
        <f t="shared" si="0"/>
        <v>48</v>
      </c>
    </row>
    <row r="28" spans="1:84" ht="26.25" customHeight="1" x14ac:dyDescent="0.25">
      <c r="A28" s="342"/>
      <c r="B28" s="1215"/>
      <c r="C28" s="600" t="s">
        <v>31</v>
      </c>
      <c r="D28" s="408">
        <f t="shared" si="1"/>
        <v>0</v>
      </c>
      <c r="E28" s="427">
        <f t="shared" si="2"/>
        <v>0</v>
      </c>
      <c r="F28" s="1206"/>
      <c r="G28" s="413">
        <f t="shared" si="3"/>
        <v>0</v>
      </c>
      <c r="H28" s="602" t="s">
        <v>510</v>
      </c>
      <c r="I28" s="427">
        <f t="shared" si="4"/>
        <v>0</v>
      </c>
      <c r="J28" s="430" t="s">
        <v>31</v>
      </c>
      <c r="K28" s="606">
        <f t="shared" si="5"/>
        <v>0</v>
      </c>
      <c r="L28" s="408">
        <f t="shared" si="6"/>
        <v>0</v>
      </c>
      <c r="M28" s="1209"/>
      <c r="N28" s="450" t="s">
        <v>160</v>
      </c>
      <c r="O28" s="427">
        <f t="shared" si="7"/>
        <v>0</v>
      </c>
      <c r="P28" s="1212"/>
      <c r="Q28" s="747">
        <f t="shared" si="13"/>
        <v>0</v>
      </c>
      <c r="R28" s="608">
        <f t="shared" si="8"/>
        <v>0</v>
      </c>
      <c r="S28" s="479">
        <f t="shared" si="9"/>
        <v>0</v>
      </c>
      <c r="T28" s="435">
        <f t="shared" si="14"/>
        <v>0</v>
      </c>
      <c r="U28" s="122"/>
      <c r="V28" s="852">
        <f t="shared" si="15"/>
        <v>0</v>
      </c>
      <c r="W28" s="852" t="str">
        <f t="shared" si="16"/>
        <v>keine</v>
      </c>
      <c r="X28" s="886"/>
      <c r="Y28" s="887" t="s">
        <v>805</v>
      </c>
      <c r="Z28" s="906">
        <v>0</v>
      </c>
      <c r="AA28" s="687">
        <f>VLOOKUP(Y28,Düngemittel!$B$6:$E$64,2,FALSE)*(VLOOKUP(Y28,Düngemittel!$B$6:$E$64,3,FALSE))/100*Z28</f>
        <v>0</v>
      </c>
      <c r="AB28" s="687">
        <f>VLOOKUP(Y28,Düngemittel!$B$6:$E$64,2,FALSE)*Z28</f>
        <v>0</v>
      </c>
      <c r="AC28" s="687">
        <f>VLOOKUP(Y28,Düngemittel!$B$6:$E$64,4,FALSE)*Z28</f>
        <v>0</v>
      </c>
      <c r="AD28" s="122"/>
      <c r="AE28" s="886"/>
      <c r="AF28" s="887" t="s">
        <v>805</v>
      </c>
      <c r="AG28" s="906">
        <v>0</v>
      </c>
      <c r="AH28" s="687">
        <f>VLOOKUP(AF28,Düngemittel!$B$6:$E$64,2,FALSE)*(VLOOKUP(AF28,Düngemittel!$B$6:$E$64,3,FALSE))/100*AG28</f>
        <v>0</v>
      </c>
      <c r="AI28" s="687">
        <f>VLOOKUP(AF28,Düngemittel!$B$6:$E$64,2,FALSE)*AG28</f>
        <v>0</v>
      </c>
      <c r="AJ28" s="687">
        <f>VLOOKUP(AF28,Düngemittel!$B$6:$E$64,4,FALSE)*AG28</f>
        <v>0</v>
      </c>
      <c r="AK28" s="122"/>
      <c r="AL28" s="886"/>
      <c r="AM28" s="887" t="s">
        <v>805</v>
      </c>
      <c r="AN28" s="906">
        <v>0</v>
      </c>
      <c r="AO28" s="687">
        <f>VLOOKUP(AM28,Düngemittel!$B$6:$E$64,2,FALSE)*(VLOOKUP(AM28,Düngemittel!$B$6:$E$64,3,FALSE))/100*AN28</f>
        <v>0</v>
      </c>
      <c r="AP28" s="687">
        <f>VLOOKUP(AM28,Düngemittel!$B$6:$E$64,2,FALSE)*AN28</f>
        <v>0</v>
      </c>
      <c r="AQ28" s="687">
        <f>VLOOKUP(AM28,Düngemittel!$B$6:$E$64,4,FALSE)*AN28</f>
        <v>0</v>
      </c>
      <c r="AR28" s="122"/>
      <c r="AS28" s="886"/>
      <c r="AT28" s="887" t="s">
        <v>805</v>
      </c>
      <c r="AU28" s="906">
        <v>0</v>
      </c>
      <c r="AV28" s="687">
        <f>VLOOKUP(AT28,Düngemittel!$B$6:$E$64,2,FALSE)*(VLOOKUP(AT28,Düngemittel!$B$6:$E$64,3,FALSE))/100*AU28</f>
        <v>0</v>
      </c>
      <c r="AW28" s="687">
        <f>VLOOKUP(AT28,Düngemittel!$B$6:$E$64,2,FALSE)*AU28</f>
        <v>0</v>
      </c>
      <c r="AX28" s="687">
        <f>VLOOKUP(AT28,Düngemittel!$B$6:$E$64,4,FALSE)*AU28</f>
        <v>0</v>
      </c>
      <c r="AY28" s="122"/>
      <c r="AZ28" s="886"/>
      <c r="BA28" s="887" t="s">
        <v>805</v>
      </c>
      <c r="BB28" s="906">
        <v>0</v>
      </c>
      <c r="BC28" s="687">
        <f>VLOOKUP(BA28,Düngemittel!$B$6:$E$64,2,FALSE)*(VLOOKUP(BA28,Düngemittel!$B$6:$E$64,3,FALSE))/100*BB28</f>
        <v>0</v>
      </c>
      <c r="BD28" s="687">
        <f>VLOOKUP(BA28,Düngemittel!$B$6:$E$64,2,FALSE)*BB28</f>
        <v>0</v>
      </c>
      <c r="BE28" s="687">
        <f>VLOOKUP(BA28,Düngemittel!$B$6:$E$64,4,FALSE)*BB28</f>
        <v>0</v>
      </c>
      <c r="BF28" s="122"/>
      <c r="BG28" s="853">
        <f t="shared" si="17"/>
        <v>0</v>
      </c>
      <c r="BH28" s="308">
        <f t="shared" si="18"/>
        <v>0</v>
      </c>
      <c r="BI28" s="853">
        <f t="shared" si="19"/>
        <v>0</v>
      </c>
      <c r="BJ28" s="777">
        <f t="shared" si="20"/>
        <v>0</v>
      </c>
      <c r="BK28" s="308">
        <f t="shared" si="21"/>
        <v>0</v>
      </c>
      <c r="BL28" s="83"/>
      <c r="BM28" s="686">
        <f t="shared" si="22"/>
        <v>0</v>
      </c>
      <c r="BN28" s="686">
        <f t="shared" si="23"/>
        <v>0</v>
      </c>
      <c r="BO28" s="686">
        <f t="shared" si="24"/>
        <v>0</v>
      </c>
      <c r="BP28" s="686">
        <f t="shared" si="25"/>
        <v>0</v>
      </c>
      <c r="BQ28" s="686">
        <f t="shared" si="26"/>
        <v>0</v>
      </c>
      <c r="BS28" s="122"/>
      <c r="BT28" s="351">
        <f t="shared" si="11"/>
        <v>0</v>
      </c>
      <c r="BU28" s="351">
        <f t="shared" si="12"/>
        <v>0</v>
      </c>
      <c r="BW28" s="124" t="s">
        <v>702</v>
      </c>
      <c r="BX28" s="124">
        <v>20</v>
      </c>
      <c r="BY28" s="592">
        <v>100</v>
      </c>
      <c r="BZ28" s="591">
        <v>2</v>
      </c>
      <c r="CA28" s="591">
        <v>3</v>
      </c>
      <c r="CB28" s="641">
        <v>60</v>
      </c>
      <c r="CC28" s="393">
        <v>1.2</v>
      </c>
      <c r="CD28" s="352">
        <f t="shared" si="0"/>
        <v>24</v>
      </c>
    </row>
    <row r="29" spans="1:84" ht="20.25" customHeight="1" x14ac:dyDescent="0.25">
      <c r="A29" s="342"/>
      <c r="B29" s="1215"/>
      <c r="C29" s="600" t="s">
        <v>31</v>
      </c>
      <c r="D29" s="408">
        <f t="shared" si="1"/>
        <v>0</v>
      </c>
      <c r="E29" s="427">
        <f t="shared" si="2"/>
        <v>0</v>
      </c>
      <c r="F29" s="1206"/>
      <c r="G29" s="413">
        <f t="shared" si="3"/>
        <v>0</v>
      </c>
      <c r="H29" s="602" t="s">
        <v>510</v>
      </c>
      <c r="I29" s="427">
        <f t="shared" si="4"/>
        <v>0</v>
      </c>
      <c r="J29" s="430" t="s">
        <v>31</v>
      </c>
      <c r="K29" s="606">
        <f t="shared" si="5"/>
        <v>0</v>
      </c>
      <c r="L29" s="408">
        <f t="shared" si="6"/>
        <v>0</v>
      </c>
      <c r="M29" s="1209"/>
      <c r="N29" s="450" t="s">
        <v>160</v>
      </c>
      <c r="O29" s="427">
        <f t="shared" si="7"/>
        <v>0</v>
      </c>
      <c r="P29" s="1212"/>
      <c r="Q29" s="747">
        <f t="shared" si="13"/>
        <v>0</v>
      </c>
      <c r="R29" s="608">
        <f t="shared" si="8"/>
        <v>0</v>
      </c>
      <c r="S29" s="479">
        <f t="shared" si="9"/>
        <v>0</v>
      </c>
      <c r="T29" s="435">
        <f t="shared" si="14"/>
        <v>0</v>
      </c>
      <c r="V29" s="852">
        <f t="shared" si="15"/>
        <v>0</v>
      </c>
      <c r="W29" s="852" t="str">
        <f t="shared" si="16"/>
        <v>keine</v>
      </c>
      <c r="X29" s="886"/>
      <c r="Y29" s="887" t="s">
        <v>805</v>
      </c>
      <c r="Z29" s="906">
        <v>0</v>
      </c>
      <c r="AA29" s="687">
        <f>VLOOKUP(Y29,Düngemittel!$B$6:$E$64,2,FALSE)*(VLOOKUP(Y29,Düngemittel!$B$6:$E$64,3,FALSE))/100*Z29</f>
        <v>0</v>
      </c>
      <c r="AB29" s="687">
        <f>VLOOKUP(Y29,Düngemittel!$B$6:$E$64,2,FALSE)*Z29</f>
        <v>0</v>
      </c>
      <c r="AC29" s="687">
        <f>VLOOKUP(Y29,Düngemittel!$B$6:$E$64,4,FALSE)*Z29</f>
        <v>0</v>
      </c>
      <c r="AE29" s="886"/>
      <c r="AF29" s="887" t="s">
        <v>805</v>
      </c>
      <c r="AG29" s="906">
        <v>0</v>
      </c>
      <c r="AH29" s="687">
        <f>VLOOKUP(AF29,Düngemittel!$B$6:$E$64,2,FALSE)*(VLOOKUP(AF29,Düngemittel!$B$6:$E$64,3,FALSE))/100*AG29</f>
        <v>0</v>
      </c>
      <c r="AI29" s="687">
        <f>VLOOKUP(AF29,Düngemittel!$B$6:$E$64,2,FALSE)*AG29</f>
        <v>0</v>
      </c>
      <c r="AJ29" s="687">
        <f>VLOOKUP(AF29,Düngemittel!$B$6:$E$64,4,FALSE)*AG29</f>
        <v>0</v>
      </c>
      <c r="AL29" s="886"/>
      <c r="AM29" s="887" t="s">
        <v>805</v>
      </c>
      <c r="AN29" s="906">
        <v>0</v>
      </c>
      <c r="AO29" s="687">
        <f>VLOOKUP(AM29,Düngemittel!$B$6:$E$64,2,FALSE)*(VLOOKUP(AM29,Düngemittel!$B$6:$E$64,3,FALSE))/100*AN29</f>
        <v>0</v>
      </c>
      <c r="AP29" s="687">
        <f>VLOOKUP(AM29,Düngemittel!$B$6:$E$64,2,FALSE)*AN29</f>
        <v>0</v>
      </c>
      <c r="AQ29" s="687">
        <f>VLOOKUP(AM29,Düngemittel!$B$6:$E$64,4,FALSE)*AN29</f>
        <v>0</v>
      </c>
      <c r="AS29" s="886"/>
      <c r="AT29" s="887" t="s">
        <v>805</v>
      </c>
      <c r="AU29" s="906">
        <v>0</v>
      </c>
      <c r="AV29" s="687">
        <f>VLOOKUP(AT29,Düngemittel!$B$6:$E$64,2,FALSE)*(VLOOKUP(AT29,Düngemittel!$B$6:$E$64,3,FALSE))/100*AU29</f>
        <v>0</v>
      </c>
      <c r="AW29" s="687">
        <f>VLOOKUP(AT29,Düngemittel!$B$6:$E$64,2,FALSE)*AU29</f>
        <v>0</v>
      </c>
      <c r="AX29" s="687">
        <f>VLOOKUP(AT29,Düngemittel!$B$6:$E$64,4,FALSE)*AU29</f>
        <v>0</v>
      </c>
      <c r="AZ29" s="886"/>
      <c r="BA29" s="887" t="s">
        <v>805</v>
      </c>
      <c r="BB29" s="906">
        <v>0</v>
      </c>
      <c r="BC29" s="687">
        <f>VLOOKUP(BA29,Düngemittel!$B$6:$E$64,2,FALSE)*(VLOOKUP(BA29,Düngemittel!$B$6:$E$64,3,FALSE))/100*BB29</f>
        <v>0</v>
      </c>
      <c r="BD29" s="687">
        <f>VLOOKUP(BA29,Düngemittel!$B$6:$E$64,2,FALSE)*BB29</f>
        <v>0</v>
      </c>
      <c r="BE29" s="687">
        <f>VLOOKUP(BA29,Düngemittel!$B$6:$E$64,4,FALSE)*BB29</f>
        <v>0</v>
      </c>
      <c r="BG29" s="853">
        <f t="shared" si="17"/>
        <v>0</v>
      </c>
      <c r="BH29" s="308">
        <f t="shared" si="18"/>
        <v>0</v>
      </c>
      <c r="BI29" s="853">
        <f t="shared" si="19"/>
        <v>0</v>
      </c>
      <c r="BJ29" s="777">
        <f t="shared" si="20"/>
        <v>0</v>
      </c>
      <c r="BK29" s="308">
        <f t="shared" si="21"/>
        <v>0</v>
      </c>
      <c r="BL29" s="83"/>
      <c r="BM29" s="686">
        <f t="shared" si="22"/>
        <v>0</v>
      </c>
      <c r="BN29" s="686">
        <f t="shared" si="23"/>
        <v>0</v>
      </c>
      <c r="BO29" s="686">
        <f t="shared" si="24"/>
        <v>0</v>
      </c>
      <c r="BP29" s="686">
        <f t="shared" si="25"/>
        <v>0</v>
      </c>
      <c r="BQ29" s="686">
        <f t="shared" si="26"/>
        <v>0</v>
      </c>
      <c r="BT29" s="351">
        <f t="shared" si="11"/>
        <v>0</v>
      </c>
      <c r="BU29" s="351">
        <f t="shared" si="12"/>
        <v>0</v>
      </c>
      <c r="BV29" s="112"/>
      <c r="BW29" s="240" t="s">
        <v>697</v>
      </c>
      <c r="BX29" s="240">
        <v>25</v>
      </c>
      <c r="BY29" s="594">
        <v>160</v>
      </c>
      <c r="BZ29" s="591">
        <v>2</v>
      </c>
      <c r="CA29" s="591">
        <v>3</v>
      </c>
      <c r="CB29" s="641">
        <v>60</v>
      </c>
      <c r="CC29" s="393">
        <v>1.77</v>
      </c>
      <c r="CD29" s="352">
        <f t="shared" si="0"/>
        <v>44.25</v>
      </c>
    </row>
    <row r="30" spans="1:84" ht="21" customHeight="1" x14ac:dyDescent="0.25">
      <c r="A30" s="342"/>
      <c r="B30" s="1215"/>
      <c r="C30" s="600" t="s">
        <v>31</v>
      </c>
      <c r="D30" s="408">
        <f t="shared" si="1"/>
        <v>0</v>
      </c>
      <c r="E30" s="427">
        <f t="shared" si="2"/>
        <v>0</v>
      </c>
      <c r="F30" s="1206"/>
      <c r="G30" s="413">
        <f t="shared" si="3"/>
        <v>0</v>
      </c>
      <c r="H30" s="602" t="s">
        <v>510</v>
      </c>
      <c r="I30" s="427">
        <f t="shared" si="4"/>
        <v>0</v>
      </c>
      <c r="J30" s="430" t="s">
        <v>31</v>
      </c>
      <c r="K30" s="606">
        <f t="shared" si="5"/>
        <v>0</v>
      </c>
      <c r="L30" s="408">
        <f t="shared" si="6"/>
        <v>0</v>
      </c>
      <c r="M30" s="1209"/>
      <c r="N30" s="450" t="s">
        <v>160</v>
      </c>
      <c r="O30" s="427">
        <f t="shared" si="7"/>
        <v>0</v>
      </c>
      <c r="P30" s="1212"/>
      <c r="Q30" s="747">
        <f t="shared" si="13"/>
        <v>0</v>
      </c>
      <c r="R30" s="608">
        <f t="shared" si="8"/>
        <v>0</v>
      </c>
      <c r="S30" s="479">
        <f t="shared" si="9"/>
        <v>0</v>
      </c>
      <c r="T30" s="435">
        <f t="shared" si="14"/>
        <v>0</v>
      </c>
      <c r="V30" s="852">
        <f t="shared" si="15"/>
        <v>0</v>
      </c>
      <c r="W30" s="852" t="str">
        <f t="shared" si="16"/>
        <v>keine</v>
      </c>
      <c r="X30" s="886"/>
      <c r="Y30" s="887" t="s">
        <v>805</v>
      </c>
      <c r="Z30" s="906">
        <v>0</v>
      </c>
      <c r="AA30" s="687">
        <f>VLOOKUP(Y30,Düngemittel!$B$6:$E$64,2,FALSE)*(VLOOKUP(Y30,Düngemittel!$B$6:$E$64,3,FALSE))/100*Z30</f>
        <v>0</v>
      </c>
      <c r="AB30" s="687">
        <f>VLOOKUP(Y30,Düngemittel!$B$6:$E$64,2,FALSE)*Z30</f>
        <v>0</v>
      </c>
      <c r="AC30" s="687">
        <f>VLOOKUP(Y30,Düngemittel!$B$6:$E$64,4,FALSE)*Z30</f>
        <v>0</v>
      </c>
      <c r="AE30" s="886"/>
      <c r="AF30" s="887" t="s">
        <v>805</v>
      </c>
      <c r="AG30" s="906">
        <v>0</v>
      </c>
      <c r="AH30" s="687">
        <f>VLOOKUP(AF30,Düngemittel!$B$6:$E$64,2,FALSE)*(VLOOKUP(AF30,Düngemittel!$B$6:$E$64,3,FALSE))/100*AG30</f>
        <v>0</v>
      </c>
      <c r="AI30" s="687">
        <f>VLOOKUP(AF30,Düngemittel!$B$6:$E$64,2,FALSE)*AG30</f>
        <v>0</v>
      </c>
      <c r="AJ30" s="687">
        <f>VLOOKUP(AF30,Düngemittel!$B$6:$E$64,4,FALSE)*AG30</f>
        <v>0</v>
      </c>
      <c r="AL30" s="886"/>
      <c r="AM30" s="887" t="s">
        <v>805</v>
      </c>
      <c r="AN30" s="906">
        <v>0</v>
      </c>
      <c r="AO30" s="687">
        <f>VLOOKUP(AM30,Düngemittel!$B$6:$E$64,2,FALSE)*(VLOOKUP(AM30,Düngemittel!$B$6:$E$64,3,FALSE))/100*AN30</f>
        <v>0</v>
      </c>
      <c r="AP30" s="687">
        <f>VLOOKUP(AM30,Düngemittel!$B$6:$E$64,2,FALSE)*AN30</f>
        <v>0</v>
      </c>
      <c r="AQ30" s="687">
        <f>VLOOKUP(AM30,Düngemittel!$B$6:$E$64,4,FALSE)*AN30</f>
        <v>0</v>
      </c>
      <c r="AS30" s="886"/>
      <c r="AT30" s="887" t="s">
        <v>805</v>
      </c>
      <c r="AU30" s="906">
        <v>0</v>
      </c>
      <c r="AV30" s="687">
        <f>VLOOKUP(AT30,Düngemittel!$B$6:$E$64,2,FALSE)*(VLOOKUP(AT30,Düngemittel!$B$6:$E$64,3,FALSE))/100*AU30</f>
        <v>0</v>
      </c>
      <c r="AW30" s="687">
        <f>VLOOKUP(AT30,Düngemittel!$B$6:$E$64,2,FALSE)*AU30</f>
        <v>0</v>
      </c>
      <c r="AX30" s="687">
        <f>VLOOKUP(AT30,Düngemittel!$B$6:$E$64,4,FALSE)*AU30</f>
        <v>0</v>
      </c>
      <c r="AZ30" s="886"/>
      <c r="BA30" s="887" t="s">
        <v>805</v>
      </c>
      <c r="BB30" s="906">
        <v>0</v>
      </c>
      <c r="BC30" s="687">
        <f>VLOOKUP(BA30,Düngemittel!$B$6:$E$64,2,FALSE)*(VLOOKUP(BA30,Düngemittel!$B$6:$E$64,3,FALSE))/100*BB30</f>
        <v>0</v>
      </c>
      <c r="BD30" s="687">
        <f>VLOOKUP(BA30,Düngemittel!$B$6:$E$64,2,FALSE)*BB30</f>
        <v>0</v>
      </c>
      <c r="BE30" s="687">
        <f>VLOOKUP(BA30,Düngemittel!$B$6:$E$64,4,FALSE)*BB30</f>
        <v>0</v>
      </c>
      <c r="BG30" s="853">
        <f t="shared" si="17"/>
        <v>0</v>
      </c>
      <c r="BH30" s="308">
        <f t="shared" si="18"/>
        <v>0</v>
      </c>
      <c r="BI30" s="853">
        <f t="shared" si="19"/>
        <v>0</v>
      </c>
      <c r="BJ30" s="777">
        <f t="shared" si="20"/>
        <v>0</v>
      </c>
      <c r="BK30" s="308">
        <f t="shared" si="21"/>
        <v>0</v>
      </c>
      <c r="BL30" s="83"/>
      <c r="BM30" s="686">
        <f t="shared" si="22"/>
        <v>0</v>
      </c>
      <c r="BN30" s="686">
        <f t="shared" si="23"/>
        <v>0</v>
      </c>
      <c r="BO30" s="686">
        <f t="shared" si="24"/>
        <v>0</v>
      </c>
      <c r="BP30" s="686">
        <f t="shared" si="25"/>
        <v>0</v>
      </c>
      <c r="BQ30" s="686">
        <f t="shared" si="26"/>
        <v>0</v>
      </c>
      <c r="BT30" s="351">
        <f t="shared" si="11"/>
        <v>0</v>
      </c>
      <c r="BU30" s="351">
        <f t="shared" si="12"/>
        <v>0</v>
      </c>
      <c r="BV30" s="112"/>
      <c r="BW30" s="580" t="s">
        <v>770</v>
      </c>
      <c r="BX30" s="580">
        <v>500</v>
      </c>
      <c r="BY30" s="591">
        <v>140</v>
      </c>
      <c r="BZ30" s="642">
        <v>0.2</v>
      </c>
      <c r="CA30" s="642">
        <v>0.3</v>
      </c>
      <c r="CB30" s="641">
        <v>60</v>
      </c>
      <c r="CC30" s="393">
        <v>0.14000000000000001</v>
      </c>
      <c r="CD30" s="352">
        <f t="shared" si="0"/>
        <v>70</v>
      </c>
    </row>
    <row r="31" spans="1:84" ht="25.5" customHeight="1" thickBot="1" x14ac:dyDescent="0.3">
      <c r="A31" s="381"/>
      <c r="B31" s="1216"/>
      <c r="C31" s="807" t="s">
        <v>31</v>
      </c>
      <c r="D31" s="410">
        <f>VLOOKUP(C31,BW$3:CA$58,2,FALSE)</f>
        <v>0</v>
      </c>
      <c r="E31" s="601">
        <f t="shared" si="2"/>
        <v>0</v>
      </c>
      <c r="F31" s="1207"/>
      <c r="G31" s="414">
        <f t="shared" si="3"/>
        <v>0</v>
      </c>
      <c r="H31" s="603" t="s">
        <v>510</v>
      </c>
      <c r="I31" s="428">
        <f t="shared" si="4"/>
        <v>0</v>
      </c>
      <c r="J31" s="431" t="s">
        <v>31</v>
      </c>
      <c r="K31" s="607">
        <f t="shared" si="5"/>
        <v>0</v>
      </c>
      <c r="L31" s="410">
        <f t="shared" si="6"/>
        <v>0</v>
      </c>
      <c r="M31" s="1210"/>
      <c r="N31" s="454" t="s">
        <v>160</v>
      </c>
      <c r="O31" s="428">
        <f t="shared" si="7"/>
        <v>0</v>
      </c>
      <c r="P31" s="1213"/>
      <c r="Q31" s="482">
        <f t="shared" si="13"/>
        <v>0</v>
      </c>
      <c r="R31" s="609">
        <f t="shared" si="8"/>
        <v>0</v>
      </c>
      <c r="S31" s="480">
        <f>F31*VLOOKUP(C31,BW$3:CC$58,7,FALSE)</f>
        <v>0</v>
      </c>
      <c r="T31" s="481">
        <f t="shared" si="14"/>
        <v>0</v>
      </c>
      <c r="V31" s="852">
        <f t="shared" si="15"/>
        <v>0</v>
      </c>
      <c r="W31" s="852" t="str">
        <f t="shared" si="16"/>
        <v>keine</v>
      </c>
      <c r="X31" s="886"/>
      <c r="Y31" s="887" t="s">
        <v>805</v>
      </c>
      <c r="Z31" s="906">
        <v>0</v>
      </c>
      <c r="AA31" s="687">
        <f>VLOOKUP(Y31,Düngemittel!$B$6:$E$64,2,FALSE)*(VLOOKUP(Y31,Düngemittel!$B$6:$E$64,3,FALSE))/100*Z31</f>
        <v>0</v>
      </c>
      <c r="AB31" s="687">
        <f>VLOOKUP(Y31,Düngemittel!$B$6:$E$64,2,FALSE)*Z31</f>
        <v>0</v>
      </c>
      <c r="AC31" s="687">
        <f>VLOOKUP(Y31,Düngemittel!$B$6:$E$64,4,FALSE)*Z31</f>
        <v>0</v>
      </c>
      <c r="AE31" s="886"/>
      <c r="AF31" s="887" t="s">
        <v>805</v>
      </c>
      <c r="AG31" s="906">
        <v>0</v>
      </c>
      <c r="AH31" s="687">
        <f>VLOOKUP(AF31,Düngemittel!$B$6:$E$64,2,FALSE)*(VLOOKUP(AF31,Düngemittel!$B$6:$E$64,3,FALSE))/100*AG31</f>
        <v>0</v>
      </c>
      <c r="AI31" s="687">
        <f>VLOOKUP(AF31,Düngemittel!$B$6:$E$64,2,FALSE)*AG31</f>
        <v>0</v>
      </c>
      <c r="AJ31" s="687">
        <f>VLOOKUP(AF31,Düngemittel!$B$6:$E$64,4,FALSE)*AG31</f>
        <v>0</v>
      </c>
      <c r="AL31" s="886"/>
      <c r="AM31" s="887" t="s">
        <v>805</v>
      </c>
      <c r="AN31" s="906">
        <v>0</v>
      </c>
      <c r="AO31" s="687">
        <f>VLOOKUP(AM31,Düngemittel!$B$6:$E$64,2,FALSE)*(VLOOKUP(AM31,Düngemittel!$B$6:$E$64,3,FALSE))/100*AN31</f>
        <v>0</v>
      </c>
      <c r="AP31" s="687">
        <f>VLOOKUP(AM31,Düngemittel!$B$6:$E$64,2,FALSE)*AN31</f>
        <v>0</v>
      </c>
      <c r="AQ31" s="687">
        <f>VLOOKUP(AM31,Düngemittel!$B$6:$E$64,4,FALSE)*AN31</f>
        <v>0</v>
      </c>
      <c r="AS31" s="886"/>
      <c r="AT31" s="887" t="s">
        <v>805</v>
      </c>
      <c r="AU31" s="906">
        <v>0</v>
      </c>
      <c r="AV31" s="687">
        <f>VLOOKUP(AT31,Düngemittel!$B$6:$E$64,2,FALSE)*(VLOOKUP(AT31,Düngemittel!$B$6:$E$64,3,FALSE))/100*AU31</f>
        <v>0</v>
      </c>
      <c r="AW31" s="687">
        <f>VLOOKUP(AT31,Düngemittel!$B$6:$E$64,2,FALSE)*AU31</f>
        <v>0</v>
      </c>
      <c r="AX31" s="687">
        <f>VLOOKUP(AT31,Düngemittel!$B$6:$E$64,4,FALSE)*AU31</f>
        <v>0</v>
      </c>
      <c r="AZ31" s="886"/>
      <c r="BA31" s="887" t="s">
        <v>805</v>
      </c>
      <c r="BB31" s="906">
        <v>0</v>
      </c>
      <c r="BC31" s="687">
        <f>VLOOKUP(BA31,Düngemittel!$B$6:$E$64,2,FALSE)*(VLOOKUP(BA31,Düngemittel!$B$6:$E$64,3,FALSE))/100*BB31</f>
        <v>0</v>
      </c>
      <c r="BD31" s="687">
        <f>VLOOKUP(BA31,Düngemittel!$B$6:$E$64,2,FALSE)*BB31</f>
        <v>0</v>
      </c>
      <c r="BE31" s="687">
        <f>VLOOKUP(BA31,Düngemittel!$B$6:$E$64,4,FALSE)*BB31</f>
        <v>0</v>
      </c>
      <c r="BG31" s="853">
        <f t="shared" si="17"/>
        <v>0</v>
      </c>
      <c r="BH31" s="308">
        <f t="shared" si="18"/>
        <v>0</v>
      </c>
      <c r="BI31" s="853">
        <f t="shared" si="19"/>
        <v>0</v>
      </c>
      <c r="BJ31" s="777">
        <f t="shared" si="20"/>
        <v>0</v>
      </c>
      <c r="BK31" s="308">
        <f t="shared" si="21"/>
        <v>0</v>
      </c>
      <c r="BL31" s="83"/>
      <c r="BM31" s="686">
        <f t="shared" si="22"/>
        <v>0</v>
      </c>
      <c r="BN31" s="686">
        <f t="shared" si="23"/>
        <v>0</v>
      </c>
      <c r="BO31" s="686">
        <f t="shared" si="24"/>
        <v>0</v>
      </c>
      <c r="BP31" s="686">
        <f t="shared" si="25"/>
        <v>0</v>
      </c>
      <c r="BQ31" s="686">
        <f t="shared" si="26"/>
        <v>0</v>
      </c>
      <c r="BT31" s="351">
        <f t="shared" si="11"/>
        <v>0</v>
      </c>
      <c r="BU31" s="351">
        <f t="shared" si="12"/>
        <v>0</v>
      </c>
      <c r="BW31" s="124" t="s">
        <v>696</v>
      </c>
      <c r="BX31" s="124">
        <v>450</v>
      </c>
      <c r="BY31" s="592">
        <v>200</v>
      </c>
      <c r="BZ31" s="593">
        <v>0.2</v>
      </c>
      <c r="CA31" s="593">
        <v>0.3</v>
      </c>
      <c r="CB31" s="641">
        <v>90</v>
      </c>
      <c r="CC31" s="393">
        <v>0.16</v>
      </c>
      <c r="CD31" s="352">
        <f t="shared" si="0"/>
        <v>72</v>
      </c>
    </row>
    <row r="32" spans="1:84" ht="25.5" customHeight="1" thickBot="1" x14ac:dyDescent="0.3">
      <c r="A32" s="382" t="s">
        <v>292</v>
      </c>
      <c r="B32" s="808">
        <f>SUM(B8:B31)</f>
        <v>60</v>
      </c>
      <c r="C32" s="809" t="s">
        <v>1077</v>
      </c>
      <c r="D32" s="371"/>
      <c r="E32" s="371"/>
      <c r="F32" s="371"/>
      <c r="G32" s="371"/>
      <c r="H32" s="375"/>
      <c r="I32" s="375"/>
      <c r="J32" s="375"/>
      <c r="K32" s="375"/>
      <c r="L32" s="371"/>
      <c r="M32" s="371"/>
      <c r="N32" s="375"/>
      <c r="O32" s="375"/>
      <c r="P32" s="375"/>
      <c r="Q32" s="385" t="s">
        <v>543</v>
      </c>
      <c r="R32" s="395">
        <f>SUM(R8:R31)</f>
        <v>9040</v>
      </c>
      <c r="S32" s="502"/>
      <c r="T32" s="478">
        <f>SUM(T8:T31)</f>
        <v>3680</v>
      </c>
      <c r="BF32" s="183"/>
      <c r="BG32" s="183"/>
      <c r="BH32" s="475"/>
      <c r="BM32" s="851">
        <f>SUM(BM8:BM31)</f>
        <v>6665</v>
      </c>
      <c r="BN32" s="851">
        <f>SUM(BN8:BN31)</f>
        <v>8825</v>
      </c>
      <c r="BO32" s="851">
        <f t="shared" ref="BO32:BQ32" si="27">SUM(BO8:BO31)</f>
        <v>10265</v>
      </c>
      <c r="BP32" s="778">
        <f t="shared" si="27"/>
        <v>3600</v>
      </c>
      <c r="BQ32" s="851">
        <f t="shared" si="27"/>
        <v>2420</v>
      </c>
      <c r="BR32" s="782" t="s">
        <v>1097</v>
      </c>
      <c r="BS32" s="475"/>
      <c r="BW32" s="124" t="s">
        <v>41</v>
      </c>
      <c r="BX32" s="124">
        <v>50</v>
      </c>
      <c r="BY32" s="124">
        <v>140</v>
      </c>
      <c r="BZ32" s="124">
        <v>1</v>
      </c>
      <c r="CA32" s="124">
        <v>1.5</v>
      </c>
      <c r="CB32" s="641">
        <v>60</v>
      </c>
      <c r="CC32" s="393">
        <v>0.8</v>
      </c>
      <c r="CD32" s="352">
        <f t="shared" si="0"/>
        <v>40</v>
      </c>
    </row>
    <row r="33" spans="1:82" ht="24.75" customHeight="1" x14ac:dyDescent="0.25">
      <c r="A33" s="118"/>
      <c r="B33" s="112"/>
      <c r="D33" s="80"/>
      <c r="E33" s="112"/>
      <c r="J33" s="151"/>
      <c r="Q33" s="21"/>
      <c r="R33" s="1310" t="s">
        <v>1118</v>
      </c>
      <c r="T33" s="1310" t="s">
        <v>1119</v>
      </c>
      <c r="BG33" s="462">
        <f t="shared" ref="BG33:BK33" si="28">BM33</f>
        <v>111.08333333333333</v>
      </c>
      <c r="BH33" s="462">
        <f t="shared" si="28"/>
        <v>147.08333333333334</v>
      </c>
      <c r="BI33" s="462">
        <f t="shared" si="28"/>
        <v>171.08333333333334</v>
      </c>
      <c r="BJ33" s="777">
        <f t="shared" si="28"/>
        <v>60</v>
      </c>
      <c r="BK33" s="308">
        <f t="shared" si="28"/>
        <v>40.333333333333336</v>
      </c>
      <c r="BM33" s="779">
        <f>BM32/$B32</f>
        <v>111.08333333333333</v>
      </c>
      <c r="BN33" s="308">
        <f>BN32/$B32</f>
        <v>147.08333333333334</v>
      </c>
      <c r="BO33" s="779">
        <f>BO32/$B32</f>
        <v>171.08333333333334</v>
      </c>
      <c r="BP33" s="777">
        <f>BP32/$B32</f>
        <v>60</v>
      </c>
      <c r="BQ33" s="308">
        <f>BQ32/$B32</f>
        <v>40.333333333333336</v>
      </c>
      <c r="BR33" s="782" t="s">
        <v>1076</v>
      </c>
      <c r="BW33" s="580" t="s">
        <v>708</v>
      </c>
      <c r="BX33" s="580">
        <v>350</v>
      </c>
      <c r="BY33" s="580">
        <v>180</v>
      </c>
      <c r="BZ33" s="580">
        <v>0.2</v>
      </c>
      <c r="CA33" s="580">
        <v>0.3</v>
      </c>
      <c r="CB33" s="641">
        <v>60</v>
      </c>
      <c r="CC33" s="393">
        <v>0.23</v>
      </c>
      <c r="CD33" s="352">
        <f t="shared" si="0"/>
        <v>80.5</v>
      </c>
    </row>
    <row r="34" spans="1:82" ht="56.25" customHeight="1" thickBot="1" x14ac:dyDescent="0.3">
      <c r="A34" s="80"/>
      <c r="B34" s="770"/>
      <c r="D34" s="80"/>
      <c r="E34" s="112"/>
      <c r="J34" s="151"/>
      <c r="P34" s="357"/>
      <c r="Q34" s="804"/>
      <c r="R34" s="1311"/>
      <c r="S34" s="476"/>
      <c r="T34" s="1311"/>
      <c r="U34" s="611"/>
      <c r="V34" s="611"/>
      <c r="W34" s="611"/>
      <c r="X34" s="611"/>
      <c r="Y34" s="611"/>
      <c r="Z34" s="611"/>
      <c r="AA34" s="611"/>
      <c r="AB34" s="611"/>
      <c r="AC34" s="611"/>
      <c r="AD34" s="611"/>
      <c r="AE34" s="611"/>
      <c r="AF34" s="611"/>
      <c r="AG34" s="611"/>
      <c r="AH34" s="611"/>
      <c r="AI34" s="611"/>
      <c r="AJ34" s="611"/>
      <c r="AK34" s="611"/>
      <c r="AL34" s="611"/>
      <c r="AM34" s="611"/>
      <c r="AN34" s="611"/>
      <c r="AO34" s="611"/>
      <c r="AP34" s="611"/>
      <c r="AQ34" s="611"/>
      <c r="AR34" s="611"/>
      <c r="AS34" s="611"/>
      <c r="AT34" s="611"/>
      <c r="AU34" s="611"/>
      <c r="AV34" s="611"/>
      <c r="AW34" s="611"/>
      <c r="AX34" s="611"/>
      <c r="AY34" s="611"/>
      <c r="AZ34" s="611"/>
      <c r="BA34" s="611"/>
      <c r="BB34" s="611"/>
      <c r="BC34" s="611"/>
      <c r="BD34" s="611"/>
      <c r="BE34" s="611"/>
      <c r="BF34" s="611"/>
      <c r="BG34" s="775" t="s">
        <v>1096</v>
      </c>
      <c r="BH34" s="312" t="s">
        <v>1082</v>
      </c>
      <c r="BI34" s="312" t="s">
        <v>1083</v>
      </c>
      <c r="BJ34" s="699" t="s">
        <v>1268</v>
      </c>
      <c r="BK34" s="312" t="s">
        <v>290</v>
      </c>
      <c r="BL34" s="611"/>
      <c r="BM34" s="780" t="s">
        <v>1096</v>
      </c>
      <c r="BN34" s="312" t="s">
        <v>1082</v>
      </c>
      <c r="BO34" s="781" t="s">
        <v>1098</v>
      </c>
      <c r="BP34" s="699" t="s">
        <v>1268</v>
      </c>
      <c r="BQ34" s="312" t="s">
        <v>290</v>
      </c>
      <c r="BR34" s="122"/>
      <c r="BS34" s="611"/>
      <c r="BT34" s="122"/>
      <c r="BU34" s="122"/>
      <c r="BW34" s="598" t="s">
        <v>727</v>
      </c>
      <c r="BX34" s="598">
        <v>350</v>
      </c>
      <c r="BY34" s="598">
        <v>140</v>
      </c>
      <c r="BZ34" s="598">
        <v>0.15</v>
      </c>
      <c r="CA34" s="598">
        <v>0.23</v>
      </c>
      <c r="CB34" s="641">
        <v>60</v>
      </c>
      <c r="CC34" s="393">
        <v>0.23</v>
      </c>
      <c r="CD34" s="352">
        <f t="shared" si="0"/>
        <v>80.5</v>
      </c>
    </row>
    <row r="35" spans="1:82" ht="25.5" customHeight="1" x14ac:dyDescent="0.25">
      <c r="B35" s="112"/>
      <c r="D35" s="80"/>
      <c r="E35" s="112"/>
      <c r="J35" s="151"/>
      <c r="U35" s="611"/>
      <c r="V35" s="611"/>
      <c r="W35" s="611"/>
      <c r="X35" s="611"/>
      <c r="Y35" s="611"/>
      <c r="Z35" s="122"/>
      <c r="AA35" s="122"/>
      <c r="AB35" s="122"/>
      <c r="AC35" s="122"/>
      <c r="AD35" s="122"/>
      <c r="AE35" s="122"/>
      <c r="AF35" s="122"/>
      <c r="AG35" s="122"/>
      <c r="AH35" s="122"/>
      <c r="AI35" s="122"/>
      <c r="AJ35" s="122"/>
      <c r="AK35" s="122"/>
      <c r="AL35" s="122"/>
      <c r="AM35" s="122"/>
      <c r="AN35" s="122"/>
      <c r="AO35" s="122"/>
      <c r="AP35" s="122"/>
      <c r="AQ35" s="122"/>
      <c r="AR35" s="122"/>
      <c r="AS35" s="122"/>
      <c r="AT35" s="122"/>
      <c r="AU35" s="122"/>
      <c r="AV35" s="122"/>
      <c r="AW35" s="122"/>
      <c r="AX35" s="122"/>
      <c r="AY35" s="122"/>
      <c r="AZ35" s="122"/>
      <c r="BA35" s="122"/>
      <c r="BB35" s="122"/>
      <c r="BC35" s="122"/>
      <c r="BD35" s="122"/>
      <c r="BE35" s="122"/>
      <c r="BF35" s="122"/>
      <c r="BG35" s="122"/>
      <c r="BH35" s="122"/>
      <c r="BI35" s="122"/>
      <c r="BJ35" s="122"/>
      <c r="BK35" s="122"/>
      <c r="BL35" s="122"/>
      <c r="BM35" s="122"/>
      <c r="BN35" s="122"/>
      <c r="BO35" s="122"/>
      <c r="BP35" s="122"/>
      <c r="BQ35" s="122"/>
      <c r="BR35" s="122"/>
      <c r="BS35" s="122"/>
      <c r="BT35" s="122"/>
      <c r="BU35" s="122"/>
      <c r="BW35" s="598" t="s">
        <v>740</v>
      </c>
      <c r="BX35" s="598">
        <v>350</v>
      </c>
      <c r="BY35" s="598">
        <v>100</v>
      </c>
      <c r="BZ35" s="598">
        <v>0.1</v>
      </c>
      <c r="CA35" s="598">
        <v>0.15</v>
      </c>
      <c r="CB35" s="641">
        <v>60</v>
      </c>
      <c r="CC35" s="393">
        <v>0.23</v>
      </c>
      <c r="CD35" s="352">
        <f t="shared" si="0"/>
        <v>80.5</v>
      </c>
    </row>
    <row r="36" spans="1:82" ht="21" customHeight="1" x14ac:dyDescent="0.25">
      <c r="A36" s="1320" t="s">
        <v>1084</v>
      </c>
      <c r="B36" s="1321"/>
      <c r="C36" s="1328" t="s">
        <v>1085</v>
      </c>
      <c r="D36" s="1329"/>
      <c r="E36" s="1329"/>
      <c r="F36" s="1329"/>
      <c r="G36" s="1329"/>
      <c r="H36" s="1329"/>
      <c r="I36" s="1329"/>
      <c r="J36" s="1329"/>
      <c r="K36" s="1329"/>
      <c r="L36" s="1329"/>
      <c r="M36" s="1329"/>
      <c r="N36" s="1329"/>
      <c r="O36" s="1330"/>
      <c r="P36" s="1330"/>
      <c r="Q36" s="1330"/>
      <c r="R36" s="1330"/>
      <c r="S36" s="1331"/>
      <c r="T36" s="1332"/>
      <c r="U36" s="611"/>
      <c r="V36" s="611"/>
      <c r="W36" s="611"/>
      <c r="X36" s="611"/>
      <c r="Y36" s="611"/>
      <c r="Z36" s="122"/>
      <c r="AA36" s="122"/>
      <c r="AB36" s="122"/>
      <c r="AC36" s="122"/>
      <c r="AD36" s="122"/>
      <c r="AE36" s="122"/>
      <c r="AF36" s="122"/>
      <c r="AG36" s="122"/>
      <c r="AH36" s="122"/>
      <c r="AI36" s="122"/>
      <c r="AJ36" s="122"/>
      <c r="AK36" s="122"/>
      <c r="AL36" s="122"/>
      <c r="AM36" s="122"/>
      <c r="AN36" s="122"/>
      <c r="AO36" s="122"/>
      <c r="AP36" s="122"/>
      <c r="AQ36" s="122"/>
      <c r="AR36" s="122"/>
      <c r="AS36" s="122"/>
      <c r="AT36" s="122"/>
      <c r="AU36" s="122"/>
      <c r="AV36" s="122"/>
      <c r="AW36" s="122"/>
      <c r="AX36" s="122"/>
      <c r="AY36" s="122"/>
      <c r="AZ36" s="122"/>
      <c r="BA36" s="122"/>
      <c r="BB36" s="122"/>
      <c r="BC36" s="122"/>
      <c r="BD36" s="122"/>
      <c r="BE36" s="122"/>
      <c r="BF36" s="122"/>
      <c r="BG36" s="122"/>
      <c r="BH36" s="122"/>
      <c r="BI36" s="122"/>
      <c r="BJ36" s="122"/>
      <c r="BK36" s="122"/>
      <c r="BL36" s="122"/>
      <c r="BM36" s="122"/>
      <c r="BN36" s="122"/>
      <c r="BO36" s="122"/>
      <c r="BP36" s="122"/>
      <c r="BQ36" s="122"/>
      <c r="BR36" s="122"/>
      <c r="BS36" s="122"/>
      <c r="BT36" s="122"/>
      <c r="BU36" s="122"/>
      <c r="BW36" s="240" t="s">
        <v>762</v>
      </c>
      <c r="BX36" s="240">
        <v>30</v>
      </c>
      <c r="BY36" s="240">
        <v>190</v>
      </c>
      <c r="BZ36" s="240">
        <v>2</v>
      </c>
      <c r="CA36" s="240">
        <v>3</v>
      </c>
      <c r="CB36" s="641">
        <v>60</v>
      </c>
      <c r="CC36" s="393">
        <v>1.8</v>
      </c>
      <c r="CD36" s="352">
        <f t="shared" si="0"/>
        <v>54</v>
      </c>
    </row>
    <row r="37" spans="1:82" ht="21" customHeight="1" x14ac:dyDescent="0.25">
      <c r="A37" s="1322"/>
      <c r="B37" s="1323"/>
      <c r="C37" s="1333"/>
      <c r="D37" s="1334"/>
      <c r="E37" s="1334"/>
      <c r="F37" s="1334"/>
      <c r="G37" s="1334"/>
      <c r="H37" s="1334"/>
      <c r="I37" s="1334"/>
      <c r="J37" s="1334"/>
      <c r="K37" s="1334"/>
      <c r="L37" s="1334"/>
      <c r="M37" s="1334"/>
      <c r="N37" s="1334"/>
      <c r="O37" s="1335"/>
      <c r="P37" s="1335"/>
      <c r="Q37" s="1335"/>
      <c r="R37" s="1335"/>
      <c r="S37" s="1336"/>
      <c r="T37" s="1337"/>
      <c r="U37" s="611"/>
      <c r="V37" s="611"/>
      <c r="W37" s="611"/>
      <c r="X37" s="611"/>
      <c r="Y37" s="611"/>
      <c r="Z37" s="122"/>
      <c r="AA37" s="122"/>
      <c r="AB37" s="122"/>
      <c r="AC37" s="122"/>
      <c r="AD37" s="122"/>
      <c r="AE37" s="122"/>
      <c r="AF37" s="122"/>
      <c r="AG37" s="122"/>
      <c r="AH37" s="122"/>
      <c r="AI37" s="122"/>
      <c r="AJ37" s="122"/>
      <c r="AK37" s="122"/>
      <c r="AL37" s="122"/>
      <c r="AM37" s="122"/>
      <c r="AN37" s="122"/>
      <c r="AO37" s="122"/>
      <c r="AP37" s="122"/>
      <c r="AQ37" s="122"/>
      <c r="AR37" s="122"/>
      <c r="AS37" s="122"/>
      <c r="AT37" s="122"/>
      <c r="AU37" s="122"/>
      <c r="AV37" s="122"/>
      <c r="AW37" s="122"/>
      <c r="AX37" s="122"/>
      <c r="AY37" s="122"/>
      <c r="AZ37" s="122"/>
      <c r="BA37" s="122"/>
      <c r="BB37" s="122"/>
      <c r="BC37" s="122"/>
      <c r="BD37" s="122"/>
      <c r="BE37" s="122"/>
      <c r="BF37" s="122"/>
      <c r="BG37" s="122"/>
      <c r="BH37" s="122"/>
      <c r="BI37" s="122"/>
      <c r="BJ37" s="122"/>
      <c r="BK37" s="122"/>
      <c r="BL37" s="122"/>
      <c r="BM37" s="122"/>
      <c r="BN37" s="122"/>
      <c r="BO37" s="122"/>
      <c r="BP37" s="122"/>
      <c r="BQ37" s="122"/>
      <c r="BR37" s="122"/>
      <c r="BS37" s="122"/>
      <c r="BT37" s="122"/>
      <c r="BU37" s="122"/>
      <c r="BW37" s="124" t="s">
        <v>687</v>
      </c>
      <c r="BX37" s="124">
        <v>60</v>
      </c>
      <c r="BY37" s="597">
        <v>160</v>
      </c>
      <c r="BZ37" s="124">
        <v>1</v>
      </c>
      <c r="CA37" s="124">
        <v>1.5</v>
      </c>
      <c r="CB37" s="641">
        <v>60</v>
      </c>
      <c r="CC37" s="393">
        <v>0.8</v>
      </c>
      <c r="CD37" s="352">
        <f t="shared" si="0"/>
        <v>48</v>
      </c>
    </row>
    <row r="38" spans="1:82" ht="21" customHeight="1" x14ac:dyDescent="0.25">
      <c r="A38" s="1324"/>
      <c r="B38" s="1325"/>
      <c r="C38" s="1338"/>
      <c r="D38" s="1335"/>
      <c r="E38" s="1335"/>
      <c r="F38" s="1335"/>
      <c r="G38" s="1335"/>
      <c r="H38" s="1335"/>
      <c r="I38" s="1335"/>
      <c r="J38" s="1335"/>
      <c r="K38" s="1335"/>
      <c r="L38" s="1335"/>
      <c r="M38" s="1335"/>
      <c r="N38" s="1335"/>
      <c r="O38" s="1335"/>
      <c r="P38" s="1335"/>
      <c r="Q38" s="1335"/>
      <c r="R38" s="1335"/>
      <c r="S38" s="1336"/>
      <c r="T38" s="1337"/>
      <c r="U38" s="611"/>
      <c r="V38" s="611"/>
      <c r="W38" s="611"/>
      <c r="X38" s="611"/>
      <c r="Y38" s="611"/>
      <c r="Z38" s="122"/>
      <c r="AA38" s="122"/>
      <c r="AB38" s="122"/>
      <c r="AC38" s="122"/>
      <c r="AD38" s="122"/>
      <c r="AE38" s="122"/>
      <c r="AF38" s="122"/>
      <c r="AG38" s="122"/>
      <c r="AH38" s="122"/>
      <c r="AI38" s="122"/>
      <c r="AJ38" s="122"/>
      <c r="AK38" s="122"/>
      <c r="AL38" s="122"/>
      <c r="AM38" s="122"/>
      <c r="AN38" s="122"/>
      <c r="AO38" s="122"/>
      <c r="AP38" s="122"/>
      <c r="AQ38" s="122"/>
      <c r="AR38" s="122"/>
      <c r="AS38" s="122"/>
      <c r="AT38" s="122"/>
      <c r="AU38" s="122"/>
      <c r="AV38" s="122"/>
      <c r="AW38" s="122"/>
      <c r="AX38" s="122"/>
      <c r="AY38" s="122"/>
      <c r="AZ38" s="122"/>
      <c r="BA38" s="122"/>
      <c r="BB38" s="122"/>
      <c r="BC38" s="122"/>
      <c r="BD38" s="122"/>
      <c r="BE38" s="122"/>
      <c r="BF38" s="122"/>
      <c r="BG38" s="122"/>
      <c r="BH38" s="122"/>
      <c r="BI38" s="122"/>
      <c r="BJ38" s="122"/>
      <c r="BK38" s="122"/>
      <c r="BL38" s="122"/>
      <c r="BM38" s="122"/>
      <c r="BS38" s="122"/>
      <c r="BT38" s="122"/>
      <c r="BU38" s="122"/>
      <c r="BW38" s="598" t="s">
        <v>688</v>
      </c>
      <c r="BX38" s="598">
        <v>60</v>
      </c>
      <c r="BY38" s="598">
        <v>180</v>
      </c>
      <c r="BZ38" s="124">
        <v>1</v>
      </c>
      <c r="CA38" s="124">
        <v>1.5</v>
      </c>
      <c r="CB38" s="641">
        <v>60</v>
      </c>
      <c r="CC38" s="393">
        <v>0.8</v>
      </c>
      <c r="CD38" s="352">
        <f t="shared" si="0"/>
        <v>48</v>
      </c>
    </row>
    <row r="39" spans="1:82" ht="21" customHeight="1" x14ac:dyDescent="0.25">
      <c r="A39" s="1324"/>
      <c r="B39" s="1325"/>
      <c r="C39" s="1338"/>
      <c r="D39" s="1335"/>
      <c r="E39" s="1335"/>
      <c r="F39" s="1335"/>
      <c r="G39" s="1335"/>
      <c r="H39" s="1335"/>
      <c r="I39" s="1335"/>
      <c r="J39" s="1335"/>
      <c r="K39" s="1335"/>
      <c r="L39" s="1335"/>
      <c r="M39" s="1335"/>
      <c r="N39" s="1335"/>
      <c r="O39" s="1335"/>
      <c r="P39" s="1335"/>
      <c r="Q39" s="1335"/>
      <c r="R39" s="1335"/>
      <c r="S39" s="1336"/>
      <c r="T39" s="1337"/>
      <c r="BW39" s="580" t="s">
        <v>685</v>
      </c>
      <c r="BX39" s="580">
        <v>70</v>
      </c>
      <c r="BY39" s="580">
        <v>220</v>
      </c>
      <c r="BZ39" s="580">
        <v>1</v>
      </c>
      <c r="CA39" s="580">
        <v>1.5</v>
      </c>
      <c r="CB39" s="393">
        <v>60</v>
      </c>
      <c r="CC39" s="393">
        <v>0.8</v>
      </c>
      <c r="CD39" s="352">
        <f t="shared" si="0"/>
        <v>56</v>
      </c>
    </row>
    <row r="40" spans="1:82" ht="21" customHeight="1" x14ac:dyDescent="0.25">
      <c r="A40" s="1326"/>
      <c r="B40" s="1327"/>
      <c r="C40" s="1339"/>
      <c r="D40" s="1340"/>
      <c r="E40" s="1340"/>
      <c r="F40" s="1340"/>
      <c r="G40" s="1340"/>
      <c r="H40" s="1340"/>
      <c r="I40" s="1340"/>
      <c r="J40" s="1340"/>
      <c r="K40" s="1340"/>
      <c r="L40" s="1340"/>
      <c r="M40" s="1340"/>
      <c r="N40" s="1340"/>
      <c r="O40" s="1340"/>
      <c r="P40" s="1340"/>
      <c r="Q40" s="1340"/>
      <c r="R40" s="1340"/>
      <c r="S40" s="1341"/>
      <c r="T40" s="1342"/>
      <c r="BW40" s="124" t="s">
        <v>694</v>
      </c>
      <c r="BX40" s="124">
        <v>30</v>
      </c>
      <c r="BY40" s="592">
        <v>120</v>
      </c>
      <c r="BZ40" s="594">
        <v>2</v>
      </c>
      <c r="CA40" s="594">
        <v>3</v>
      </c>
      <c r="CB40" s="641">
        <v>90</v>
      </c>
      <c r="CC40" s="393">
        <v>1.6</v>
      </c>
      <c r="CD40" s="352">
        <f t="shared" si="0"/>
        <v>48</v>
      </c>
    </row>
    <row r="41" spans="1:82" ht="21.75" customHeight="1" x14ac:dyDescent="0.25">
      <c r="BW41" s="580" t="s">
        <v>766</v>
      </c>
      <c r="BX41" s="580">
        <v>400</v>
      </c>
      <c r="BY41" s="580">
        <v>140</v>
      </c>
      <c r="BZ41" s="580">
        <v>0.2</v>
      </c>
      <c r="CA41" s="580">
        <v>0.3</v>
      </c>
      <c r="CB41" s="641">
        <v>60</v>
      </c>
      <c r="CC41" s="393">
        <v>0.2</v>
      </c>
      <c r="CD41" s="352">
        <f t="shared" si="0"/>
        <v>80</v>
      </c>
    </row>
    <row r="42" spans="1:82" ht="21.75" customHeight="1" x14ac:dyDescent="0.25">
      <c r="A42" s="1320" t="s">
        <v>617</v>
      </c>
      <c r="B42" s="1321"/>
      <c r="C42" s="1347" t="s">
        <v>1086</v>
      </c>
      <c r="D42" s="1281"/>
      <c r="E42" s="1281"/>
      <c r="F42" s="1281"/>
      <c r="G42" s="1281"/>
      <c r="H42" s="1281"/>
      <c r="I42" s="1281"/>
      <c r="J42" s="1281"/>
      <c r="K42" s="1281"/>
      <c r="L42" s="1281"/>
      <c r="M42" s="1281"/>
      <c r="N42" s="1281"/>
      <c r="O42" s="1281"/>
      <c r="P42" s="1281"/>
      <c r="Q42" s="1348"/>
      <c r="R42" s="1348"/>
      <c r="S42" s="1349"/>
      <c r="T42" s="1349"/>
      <c r="BW42" s="240" t="s">
        <v>252</v>
      </c>
      <c r="BX42" s="240">
        <v>450</v>
      </c>
      <c r="BY42" s="240">
        <v>200</v>
      </c>
      <c r="BZ42" s="240">
        <v>0.2</v>
      </c>
      <c r="CA42" s="240">
        <v>0.3</v>
      </c>
      <c r="CB42" s="641">
        <v>60</v>
      </c>
      <c r="CC42" s="393">
        <v>0.18</v>
      </c>
      <c r="CD42" s="352">
        <f t="shared" si="0"/>
        <v>81</v>
      </c>
    </row>
    <row r="43" spans="1:82" ht="21.75" customHeight="1" x14ac:dyDescent="0.25">
      <c r="A43" s="1322"/>
      <c r="B43" s="1323"/>
      <c r="C43" s="1281"/>
      <c r="D43" s="1281"/>
      <c r="E43" s="1281"/>
      <c r="F43" s="1281"/>
      <c r="G43" s="1281"/>
      <c r="H43" s="1281"/>
      <c r="I43" s="1281"/>
      <c r="J43" s="1281"/>
      <c r="K43" s="1281"/>
      <c r="L43" s="1281"/>
      <c r="M43" s="1281"/>
      <c r="N43" s="1281"/>
      <c r="O43" s="1281"/>
      <c r="P43" s="1281"/>
      <c r="Q43" s="1348"/>
      <c r="R43" s="1348"/>
      <c r="S43" s="1349"/>
      <c r="T43" s="1349"/>
      <c r="BW43" s="80" t="s">
        <v>1300</v>
      </c>
      <c r="BX43" s="124">
        <v>300</v>
      </c>
      <c r="BY43" s="124">
        <v>205</v>
      </c>
      <c r="BZ43" s="124">
        <v>0.33300000000000002</v>
      </c>
      <c r="CA43" s="124">
        <v>0.33300000000000002</v>
      </c>
      <c r="CB43" s="641">
        <v>30</v>
      </c>
      <c r="CC43" s="393">
        <v>0.115</v>
      </c>
      <c r="CD43" s="352">
        <f t="shared" si="0"/>
        <v>34.5</v>
      </c>
    </row>
    <row r="44" spans="1:82" ht="21.75" customHeight="1" x14ac:dyDescent="0.25">
      <c r="A44" s="1343"/>
      <c r="B44" s="1344"/>
      <c r="C44" s="1281"/>
      <c r="D44" s="1281"/>
      <c r="E44" s="1281"/>
      <c r="F44" s="1281"/>
      <c r="G44" s="1281"/>
      <c r="H44" s="1281"/>
      <c r="I44" s="1281"/>
      <c r="J44" s="1281"/>
      <c r="K44" s="1281"/>
      <c r="L44" s="1281"/>
      <c r="M44" s="1281"/>
      <c r="N44" s="1281"/>
      <c r="O44" s="1281"/>
      <c r="P44" s="1281"/>
      <c r="Q44" s="1348"/>
      <c r="R44" s="1348"/>
      <c r="S44" s="1349"/>
      <c r="T44" s="1349"/>
      <c r="BW44" s="240" t="s">
        <v>700</v>
      </c>
      <c r="BX44" s="240">
        <v>450</v>
      </c>
      <c r="BY44" s="240">
        <v>180</v>
      </c>
      <c r="BZ44" s="240">
        <v>0.2</v>
      </c>
      <c r="CA44" s="240">
        <v>0.3</v>
      </c>
      <c r="CB44" s="641">
        <v>90</v>
      </c>
      <c r="CC44" s="596">
        <v>0.18</v>
      </c>
      <c r="CD44" s="352">
        <f t="shared" ref="CD44:CD61" si="29">BX44*CC44</f>
        <v>81</v>
      </c>
    </row>
    <row r="45" spans="1:82" ht="15.75" customHeight="1" x14ac:dyDescent="0.25">
      <c r="A45" s="1345"/>
      <c r="B45" s="1346"/>
      <c r="C45" s="1347" t="s">
        <v>594</v>
      </c>
      <c r="D45" s="1281"/>
      <c r="E45" s="1281"/>
      <c r="F45" s="1281"/>
      <c r="G45" s="1281"/>
      <c r="H45" s="1281"/>
      <c r="I45" s="1281"/>
      <c r="J45" s="1281"/>
      <c r="K45" s="1281"/>
      <c r="L45" s="1281"/>
      <c r="M45" s="1281"/>
      <c r="N45" s="1281"/>
      <c r="O45" s="1348"/>
      <c r="P45" s="1348"/>
      <c r="Q45" s="1348"/>
      <c r="R45" s="1348"/>
      <c r="S45" s="1349"/>
      <c r="T45" s="1349"/>
      <c r="BW45" s="644" t="s">
        <v>773</v>
      </c>
      <c r="BX45" s="644">
        <v>30</v>
      </c>
      <c r="BY45" s="644">
        <v>100</v>
      </c>
      <c r="BZ45" s="644">
        <v>2</v>
      </c>
      <c r="CA45" s="644">
        <v>3</v>
      </c>
      <c r="CB45" s="393">
        <v>60</v>
      </c>
      <c r="CC45" s="393">
        <v>1.3</v>
      </c>
      <c r="CD45" s="352">
        <f t="shared" si="29"/>
        <v>39</v>
      </c>
    </row>
    <row r="46" spans="1:82" ht="12.75" customHeight="1" x14ac:dyDescent="0.25">
      <c r="BW46" s="598" t="s">
        <v>775</v>
      </c>
      <c r="BX46" s="598">
        <v>30</v>
      </c>
      <c r="BY46" s="598">
        <v>260</v>
      </c>
      <c r="BZ46" s="598">
        <v>5</v>
      </c>
      <c r="CA46" s="598">
        <v>7.5</v>
      </c>
      <c r="CB46" s="598">
        <v>60</v>
      </c>
      <c r="CC46" s="598">
        <v>1.3</v>
      </c>
      <c r="CD46" s="352">
        <f t="shared" si="29"/>
        <v>39</v>
      </c>
    </row>
    <row r="47" spans="1:82" ht="12.75" customHeight="1" x14ac:dyDescent="0.25">
      <c r="BW47" s="240" t="s">
        <v>699</v>
      </c>
      <c r="BX47" s="240">
        <v>500</v>
      </c>
      <c r="BY47" s="240">
        <v>150</v>
      </c>
      <c r="BZ47" s="240">
        <v>0.2</v>
      </c>
      <c r="CA47" s="224">
        <v>0.3</v>
      </c>
      <c r="CB47" s="641">
        <v>90</v>
      </c>
      <c r="CC47" s="393">
        <v>0.1</v>
      </c>
      <c r="CD47" s="352">
        <f t="shared" si="29"/>
        <v>50</v>
      </c>
    </row>
    <row r="48" spans="1:82" ht="12.75" customHeight="1" x14ac:dyDescent="0.25">
      <c r="BW48" s="124" t="s">
        <v>92</v>
      </c>
      <c r="BX48" s="124">
        <v>70</v>
      </c>
      <c r="BY48" s="124">
        <v>180</v>
      </c>
      <c r="BZ48" s="124">
        <v>1</v>
      </c>
      <c r="CA48" s="124">
        <v>1.5</v>
      </c>
      <c r="CB48" s="641">
        <v>90</v>
      </c>
      <c r="CC48" s="393">
        <v>0.8</v>
      </c>
      <c r="CD48" s="352">
        <f t="shared" si="29"/>
        <v>56</v>
      </c>
    </row>
    <row r="49" spans="22:82" ht="17.25" customHeight="1" x14ac:dyDescent="0.25">
      <c r="BW49" s="580" t="s">
        <v>765</v>
      </c>
      <c r="BX49" s="580">
        <v>350</v>
      </c>
      <c r="BY49" s="580">
        <v>210</v>
      </c>
      <c r="BZ49" s="580">
        <v>0.2</v>
      </c>
      <c r="CA49" s="580">
        <v>0.3</v>
      </c>
      <c r="CB49" s="641">
        <v>90</v>
      </c>
      <c r="CC49" s="393">
        <v>0.23</v>
      </c>
      <c r="CD49" s="352">
        <f t="shared" si="29"/>
        <v>80.5</v>
      </c>
    </row>
    <row r="50" spans="22:82" ht="15.75" customHeight="1" x14ac:dyDescent="0.25">
      <c r="BW50" s="580" t="s">
        <v>767</v>
      </c>
      <c r="BX50" s="580">
        <v>350</v>
      </c>
      <c r="BY50" s="580">
        <v>180</v>
      </c>
      <c r="BZ50" s="580">
        <v>0.2</v>
      </c>
      <c r="CA50" s="580">
        <v>0.3</v>
      </c>
      <c r="CB50" s="641">
        <v>90</v>
      </c>
      <c r="CC50" s="393">
        <v>0.23</v>
      </c>
      <c r="CD50" s="352">
        <f t="shared" si="29"/>
        <v>80.5</v>
      </c>
    </row>
    <row r="51" spans="22:82" ht="15.75" customHeight="1" x14ac:dyDescent="0.25">
      <c r="BW51" s="598" t="s">
        <v>726</v>
      </c>
      <c r="BX51" s="598">
        <v>350</v>
      </c>
      <c r="BY51" s="598">
        <v>140</v>
      </c>
      <c r="BZ51" s="598">
        <v>0.15</v>
      </c>
      <c r="CA51" s="598">
        <v>0.23</v>
      </c>
      <c r="CB51" s="641">
        <v>90</v>
      </c>
      <c r="CC51" s="393">
        <v>0.23</v>
      </c>
      <c r="CD51" s="352">
        <f t="shared" si="29"/>
        <v>80.5</v>
      </c>
    </row>
    <row r="52" spans="22:82" ht="15.75" customHeight="1" x14ac:dyDescent="0.25">
      <c r="V52" s="147"/>
      <c r="W52" s="147"/>
      <c r="BW52" s="598" t="s">
        <v>741</v>
      </c>
      <c r="BX52" s="598">
        <v>350</v>
      </c>
      <c r="BY52" s="598">
        <v>100</v>
      </c>
      <c r="BZ52" s="598">
        <v>0.1</v>
      </c>
      <c r="CA52" s="598">
        <v>0.15</v>
      </c>
      <c r="CB52" s="641">
        <v>90</v>
      </c>
      <c r="CC52" s="393">
        <v>0.23</v>
      </c>
      <c r="CD52" s="352">
        <f t="shared" si="29"/>
        <v>80.5</v>
      </c>
    </row>
    <row r="53" spans="22:82" ht="15.75" customHeight="1" x14ac:dyDescent="0.25">
      <c r="AE53" s="124"/>
      <c r="AF53" s="124"/>
      <c r="AG53" s="124"/>
      <c r="BW53" s="124" t="s">
        <v>703</v>
      </c>
      <c r="BX53" s="124">
        <v>40</v>
      </c>
      <c r="BY53" s="124">
        <v>200</v>
      </c>
      <c r="BZ53" s="124">
        <v>2</v>
      </c>
      <c r="CA53" s="124">
        <v>3</v>
      </c>
      <c r="CB53" s="641">
        <v>90</v>
      </c>
      <c r="CC53" s="393">
        <v>1.8</v>
      </c>
      <c r="CD53" s="352">
        <f t="shared" si="29"/>
        <v>72</v>
      </c>
    </row>
    <row r="54" spans="22:82" ht="15.75" customHeight="1" x14ac:dyDescent="0.25">
      <c r="AE54" s="124"/>
      <c r="AF54" s="124"/>
      <c r="AG54" s="124"/>
      <c r="BW54" s="124" t="s">
        <v>157</v>
      </c>
      <c r="BX54" s="124">
        <v>70</v>
      </c>
      <c r="BY54" s="124">
        <v>170</v>
      </c>
      <c r="BZ54" s="124">
        <v>1</v>
      </c>
      <c r="CA54" s="124">
        <v>1.5</v>
      </c>
      <c r="CB54" s="641">
        <v>90</v>
      </c>
      <c r="CC54" s="393">
        <v>0.8</v>
      </c>
      <c r="CD54" s="352">
        <f t="shared" si="29"/>
        <v>56</v>
      </c>
    </row>
    <row r="55" spans="22:82" ht="15.75" customHeight="1" x14ac:dyDescent="0.25">
      <c r="AE55" s="124"/>
      <c r="AF55" s="124"/>
      <c r="AG55" s="124"/>
      <c r="BW55" s="124" t="s">
        <v>156</v>
      </c>
      <c r="BX55" s="124">
        <v>70</v>
      </c>
      <c r="BY55" s="124">
        <v>190</v>
      </c>
      <c r="BZ55" s="124">
        <v>1</v>
      </c>
      <c r="CA55" s="124">
        <v>1.5</v>
      </c>
      <c r="CB55" s="641">
        <v>90</v>
      </c>
      <c r="CC55" s="393">
        <v>0.8</v>
      </c>
      <c r="CD55" s="352">
        <f t="shared" si="29"/>
        <v>56</v>
      </c>
    </row>
    <row r="56" spans="22:82" ht="15.75" customHeight="1" x14ac:dyDescent="0.25">
      <c r="AE56" s="124"/>
      <c r="AF56" s="124"/>
      <c r="AG56" s="124"/>
      <c r="AI56" s="124"/>
      <c r="AJ56" s="124"/>
      <c r="BW56" s="124" t="s">
        <v>222</v>
      </c>
      <c r="BX56" s="124">
        <v>80</v>
      </c>
      <c r="BY56" s="124">
        <v>230</v>
      </c>
      <c r="BZ56" s="124">
        <v>1</v>
      </c>
      <c r="CA56" s="124">
        <v>1.5</v>
      </c>
      <c r="CB56" s="641">
        <v>90</v>
      </c>
      <c r="CC56" s="393">
        <v>0.8</v>
      </c>
      <c r="CD56" s="352">
        <f t="shared" si="29"/>
        <v>64</v>
      </c>
    </row>
    <row r="57" spans="22:82" ht="15.75" customHeight="1" x14ac:dyDescent="0.25">
      <c r="AE57" s="124"/>
      <c r="AF57" s="124"/>
      <c r="AG57" s="124"/>
      <c r="BW57" s="124" t="s">
        <v>686</v>
      </c>
      <c r="BX57" s="124">
        <v>80</v>
      </c>
      <c r="BY57" s="124">
        <v>210</v>
      </c>
      <c r="BZ57" s="124">
        <v>1</v>
      </c>
      <c r="CA57" s="124">
        <v>1.5</v>
      </c>
      <c r="CB57" s="641">
        <v>90</v>
      </c>
      <c r="CC57" s="393">
        <v>0.8</v>
      </c>
      <c r="CD57" s="352">
        <f t="shared" si="29"/>
        <v>64</v>
      </c>
    </row>
    <row r="58" spans="22:82" ht="15.75" customHeight="1" x14ac:dyDescent="0.25">
      <c r="V58" s="166"/>
      <c r="W58" s="166"/>
      <c r="AE58" s="124"/>
      <c r="AF58" s="124"/>
      <c r="AG58" s="124"/>
      <c r="BW58" s="124" t="s">
        <v>223</v>
      </c>
      <c r="BX58" s="124">
        <v>80</v>
      </c>
      <c r="BY58" s="124">
        <v>260</v>
      </c>
      <c r="BZ58" s="124">
        <v>1</v>
      </c>
      <c r="CA58" s="124">
        <v>1.5</v>
      </c>
      <c r="CB58" s="641">
        <v>90</v>
      </c>
      <c r="CC58" s="393">
        <v>0.8</v>
      </c>
      <c r="CD58" s="352">
        <f t="shared" si="29"/>
        <v>64</v>
      </c>
    </row>
    <row r="59" spans="22:82" ht="15.75" customHeight="1" x14ac:dyDescent="0.25">
      <c r="V59" s="166"/>
      <c r="W59" s="166"/>
      <c r="BW59" s="580" t="s">
        <v>758</v>
      </c>
      <c r="BX59" s="580">
        <v>80</v>
      </c>
      <c r="BY59" s="580">
        <v>180</v>
      </c>
      <c r="BZ59" s="580">
        <v>1</v>
      </c>
      <c r="CA59" s="580">
        <v>1.5</v>
      </c>
      <c r="CB59" s="641">
        <v>90</v>
      </c>
      <c r="CC59" s="393">
        <v>0.8</v>
      </c>
      <c r="CD59" s="352">
        <f t="shared" si="29"/>
        <v>64</v>
      </c>
    </row>
    <row r="60" spans="22:82" ht="15.75" customHeight="1" x14ac:dyDescent="0.25">
      <c r="BT60" s="391"/>
      <c r="BU60" s="391"/>
      <c r="BW60" s="124" t="s">
        <v>126</v>
      </c>
      <c r="BX60" s="124">
        <v>650</v>
      </c>
      <c r="BY60" s="124">
        <v>170</v>
      </c>
      <c r="BZ60" s="593">
        <v>0.1</v>
      </c>
      <c r="CA60" s="593">
        <v>0.15</v>
      </c>
      <c r="CB60" s="641">
        <v>90</v>
      </c>
      <c r="CC60" s="393">
        <v>0.1</v>
      </c>
      <c r="CD60" s="352">
        <f t="shared" si="29"/>
        <v>65</v>
      </c>
    </row>
    <row r="61" spans="22:82" ht="15.75" customHeight="1" x14ac:dyDescent="0.25">
      <c r="BW61" s="124" t="s">
        <v>698</v>
      </c>
      <c r="BX61" s="124">
        <v>600</v>
      </c>
      <c r="BY61" s="124">
        <v>155</v>
      </c>
      <c r="BZ61" s="596">
        <v>0.16666700000000001</v>
      </c>
      <c r="CA61" s="596">
        <v>0.16666700000000001</v>
      </c>
      <c r="CB61" s="641">
        <v>60</v>
      </c>
      <c r="CC61" s="393">
        <v>0.08</v>
      </c>
      <c r="CD61" s="352">
        <f t="shared" si="29"/>
        <v>48</v>
      </c>
    </row>
    <row r="62" spans="22:82" ht="15.75" customHeight="1" x14ac:dyDescent="0.25">
      <c r="CC62" s="641"/>
    </row>
    <row r="63" spans="22:82" ht="15.75" customHeight="1" x14ac:dyDescent="0.25">
      <c r="BX63" s="60" t="s">
        <v>5</v>
      </c>
      <c r="CC63" s="641"/>
    </row>
    <row r="64" spans="22:82" ht="15.75" customHeight="1" x14ac:dyDescent="0.25">
      <c r="BW64" s="41" t="s">
        <v>6</v>
      </c>
      <c r="CC64" s="641"/>
    </row>
    <row r="65" spans="74:81" ht="15.75" customHeight="1" x14ac:dyDescent="0.25">
      <c r="BW65" s="17" t="s">
        <v>510</v>
      </c>
      <c r="BX65" s="124">
        <v>0</v>
      </c>
      <c r="CC65" s="641"/>
    </row>
    <row r="66" spans="74:81" ht="15.75" customHeight="1" x14ac:dyDescent="0.25">
      <c r="BW66" s="17" t="s">
        <v>22</v>
      </c>
      <c r="BX66" s="124">
        <v>10</v>
      </c>
    </row>
    <row r="67" spans="74:81" ht="15.75" customHeight="1" x14ac:dyDescent="0.25">
      <c r="BW67" s="17" t="s">
        <v>535</v>
      </c>
      <c r="BX67" s="124">
        <v>10</v>
      </c>
    </row>
    <row r="68" spans="74:81" ht="15.75" customHeight="1" x14ac:dyDescent="0.25">
      <c r="BW68" s="17" t="s">
        <v>7</v>
      </c>
      <c r="BX68" s="124">
        <v>10</v>
      </c>
    </row>
    <row r="69" spans="74:81" ht="15.75" customHeight="1" x14ac:dyDescent="0.25">
      <c r="BW69" s="17" t="s">
        <v>17</v>
      </c>
      <c r="BX69" s="124">
        <v>20</v>
      </c>
      <c r="BZ69" s="60"/>
    </row>
    <row r="70" spans="74:81" ht="15.75" customHeight="1" x14ac:dyDescent="0.25">
      <c r="BW70" s="17" t="s">
        <v>23</v>
      </c>
      <c r="BX70" s="124">
        <v>0</v>
      </c>
    </row>
    <row r="71" spans="74:81" ht="15.75" customHeight="1" x14ac:dyDescent="0.25">
      <c r="BW71" s="17" t="s">
        <v>20</v>
      </c>
      <c r="BX71" s="124">
        <v>20</v>
      </c>
    </row>
    <row r="72" spans="74:81" ht="15.75" customHeight="1" x14ac:dyDescent="0.25">
      <c r="BW72" s="17" t="s">
        <v>19</v>
      </c>
      <c r="BX72" s="124">
        <v>10</v>
      </c>
    </row>
    <row r="73" spans="74:81" ht="15.75" customHeight="1" x14ac:dyDescent="0.25">
      <c r="BW73" s="17" t="s">
        <v>536</v>
      </c>
      <c r="BX73" s="124">
        <v>0</v>
      </c>
    </row>
    <row r="74" spans="74:81" ht="15.75" customHeight="1" x14ac:dyDescent="0.25">
      <c r="BW74" s="17" t="s">
        <v>21</v>
      </c>
      <c r="BX74" s="124">
        <v>10</v>
      </c>
    </row>
    <row r="75" spans="74:81" ht="15.75" customHeight="1" x14ac:dyDescent="0.25">
      <c r="BW75" s="17" t="s">
        <v>18</v>
      </c>
      <c r="BX75" s="124">
        <v>20</v>
      </c>
    </row>
    <row r="76" spans="74:81" ht="15.75" customHeight="1" x14ac:dyDescent="0.25"/>
    <row r="77" spans="74:81" ht="15.75" customHeight="1" x14ac:dyDescent="0.25">
      <c r="BW77" s="41" t="s">
        <v>8</v>
      </c>
    </row>
    <row r="78" spans="74:81" ht="15.75" customHeight="1" x14ac:dyDescent="0.25">
      <c r="BW78" s="17" t="s">
        <v>25</v>
      </c>
      <c r="BX78" s="124">
        <v>0</v>
      </c>
    </row>
    <row r="79" spans="74:81" ht="15.75" customHeight="1" x14ac:dyDescent="0.25">
      <c r="BW79" s="17" t="s">
        <v>538</v>
      </c>
      <c r="BX79" s="124">
        <v>0</v>
      </c>
    </row>
    <row r="80" spans="74:81" ht="15.75" customHeight="1" x14ac:dyDescent="0.25">
      <c r="BV80" s="17"/>
      <c r="BW80" s="17" t="s">
        <v>537</v>
      </c>
      <c r="BX80" s="124">
        <v>20</v>
      </c>
    </row>
    <row r="81" spans="74:76" ht="15.75" customHeight="1" x14ac:dyDescent="0.25">
      <c r="BV81" s="17"/>
      <c r="BW81" s="17" t="s">
        <v>28</v>
      </c>
      <c r="BX81" s="124">
        <v>10</v>
      </c>
    </row>
    <row r="82" spans="74:76" ht="15.75" customHeight="1" x14ac:dyDescent="0.25">
      <c r="BW82" s="17" t="s">
        <v>540</v>
      </c>
      <c r="BX82" s="124">
        <v>10</v>
      </c>
    </row>
    <row r="83" spans="74:76" ht="15.75" customHeight="1" x14ac:dyDescent="0.25">
      <c r="BW83" s="17" t="s">
        <v>679</v>
      </c>
      <c r="BX83" s="124">
        <v>30</v>
      </c>
    </row>
    <row r="84" spans="74:76" ht="15.75" customHeight="1" x14ac:dyDescent="0.25">
      <c r="BW84" s="17" t="s">
        <v>539</v>
      </c>
      <c r="BX84" s="124">
        <v>40</v>
      </c>
    </row>
    <row r="85" spans="74:76" ht="15.75" customHeight="1" x14ac:dyDescent="0.25">
      <c r="BW85" s="17" t="s">
        <v>9</v>
      </c>
      <c r="BX85" s="124">
        <v>0</v>
      </c>
    </row>
    <row r="86" spans="74:76" ht="15.75" customHeight="1" x14ac:dyDescent="0.25">
      <c r="BW86" s="17" t="s">
        <v>10</v>
      </c>
      <c r="BX86" s="124">
        <v>10</v>
      </c>
    </row>
    <row r="87" spans="74:76" ht="15.75" customHeight="1" x14ac:dyDescent="0.25">
      <c r="BW87" s="17" t="s">
        <v>31</v>
      </c>
      <c r="BX87" s="124">
        <v>0</v>
      </c>
    </row>
    <row r="88" spans="74:76" ht="15.75" customHeight="1" x14ac:dyDescent="0.25"/>
    <row r="89" spans="74:76" ht="15.75" customHeight="1" x14ac:dyDescent="0.25">
      <c r="BW89" s="41" t="s">
        <v>159</v>
      </c>
    </row>
    <row r="90" spans="74:76" ht="15.75" customHeight="1" x14ac:dyDescent="0.25">
      <c r="BW90" s="17" t="s">
        <v>230</v>
      </c>
      <c r="BX90" s="124">
        <v>20</v>
      </c>
    </row>
    <row r="91" spans="74:76" ht="15.75" customHeight="1" x14ac:dyDescent="0.25">
      <c r="BW91" s="17" t="s">
        <v>160</v>
      </c>
      <c r="BX91" s="124">
        <v>0</v>
      </c>
    </row>
    <row r="92" spans="74:76" ht="15.75" customHeight="1" x14ac:dyDescent="0.25"/>
    <row r="93" spans="74:76" ht="15" customHeight="1" x14ac:dyDescent="0.25"/>
    <row r="94" spans="74:76" ht="58.5" customHeight="1" x14ac:dyDescent="0.25"/>
    <row r="95" spans="74:76" ht="36" customHeight="1" x14ac:dyDescent="0.25"/>
    <row r="96" spans="74:76" ht="15.75" customHeight="1" x14ac:dyDescent="0.25"/>
    <row r="97" ht="15.75" customHeight="1" x14ac:dyDescent="0.25"/>
    <row r="98" ht="15.75" customHeight="1" x14ac:dyDescent="0.25"/>
    <row r="99" ht="15.75" customHeight="1" x14ac:dyDescent="0.25"/>
    <row r="111" ht="17.25" customHeight="1" x14ac:dyDescent="0.25"/>
  </sheetData>
  <sheetProtection sheet="1" objects="1" scenarios="1" formatCells="0" formatColumns="0" formatRows="0" selectLockedCells="1"/>
  <mergeCells count="44">
    <mergeCell ref="A6:A7"/>
    <mergeCell ref="B6:B7"/>
    <mergeCell ref="C6:C7"/>
    <mergeCell ref="D6:E6"/>
    <mergeCell ref="O6:O7"/>
    <mergeCell ref="F6:G6"/>
    <mergeCell ref="H6:H7"/>
    <mergeCell ref="C1:D1"/>
    <mergeCell ref="I1:J1"/>
    <mergeCell ref="C2:D2"/>
    <mergeCell ref="I2:J2"/>
    <mergeCell ref="C3:D3"/>
    <mergeCell ref="E2:G3"/>
    <mergeCell ref="A36:B40"/>
    <mergeCell ref="C36:T40"/>
    <mergeCell ref="A42:B45"/>
    <mergeCell ref="C42:T44"/>
    <mergeCell ref="C45:T45"/>
    <mergeCell ref="R33:R34"/>
    <mergeCell ref="T33:T34"/>
    <mergeCell ref="AL6:AQ6"/>
    <mergeCell ref="AS6:AX6"/>
    <mergeCell ref="AZ6:BE6"/>
    <mergeCell ref="S6:T6"/>
    <mergeCell ref="Q6:R6"/>
    <mergeCell ref="V6:V7"/>
    <mergeCell ref="X6:AC6"/>
    <mergeCell ref="AE6:AJ6"/>
    <mergeCell ref="BM5:BQ6"/>
    <mergeCell ref="V4:BE4"/>
    <mergeCell ref="I6:I7"/>
    <mergeCell ref="P6:P7"/>
    <mergeCell ref="BG2:BQ4"/>
    <mergeCell ref="W6:W7"/>
    <mergeCell ref="V5:BE5"/>
    <mergeCell ref="BG5:BK6"/>
    <mergeCell ref="L1:P3"/>
    <mergeCell ref="J6:J7"/>
    <mergeCell ref="K6:K7"/>
    <mergeCell ref="L6:L7"/>
    <mergeCell ref="M6:M7"/>
    <mergeCell ref="N6:N7"/>
    <mergeCell ref="A4:T4"/>
    <mergeCell ref="A5:T5"/>
  </mergeCells>
  <dataValidations count="4">
    <dataValidation type="list" allowBlank="1" sqref="J8:J31" xr:uid="{00000000-0002-0000-0100-000000000000}">
      <formula1>BW$78:BW$87</formula1>
    </dataValidation>
    <dataValidation type="list" allowBlank="1" sqref="H8:H31" xr:uid="{00000000-0002-0000-0100-000001000000}">
      <formula1>BW$65:BW$75</formula1>
    </dataValidation>
    <dataValidation type="list" allowBlank="1" sqref="N8:N31" xr:uid="{00000000-0002-0000-0100-000002000000}">
      <formula1>BW$90:BW$91</formula1>
    </dataValidation>
    <dataValidation type="list" allowBlank="1" sqref="C8:C31" xr:uid="{00000000-0002-0000-0100-000003000000}">
      <formula1>BW$3:BW$61</formula1>
    </dataValidation>
  </dataValidations>
  <pageMargins left="0.78740157480314965" right="0.23622047244094491" top="0.74803149606299213" bottom="0.74803149606299213" header="0.31496062992125984" footer="0.31496062992125984"/>
  <pageSetup paperSize="9" scale="59" fitToHeight="0" orientation="landscape" horizontalDpi="4294967293" verticalDpi="4294967293" r:id="rId1"/>
  <rowBreaks count="1" manualBreakCount="1">
    <brk id="32" max="56" man="1"/>
  </rowBreaks>
  <colBreaks count="1" manualBreakCount="1">
    <brk id="21" max="31"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4000000}">
          <x14:formula1>
            <xm:f>Düngemittel!$B$6:$B$64</xm:f>
          </x14:formula1>
          <xm:sqref>Y8:Y31 AF8:AF31 AM8:AM31 AT8:AT31 BA8:BA31</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2">
    <tabColor theme="5" tint="0.39997558519241921"/>
  </sheetPr>
  <dimension ref="A1:U50"/>
  <sheetViews>
    <sheetView zoomScaleNormal="100" workbookViewId="0">
      <selection activeCell="B5" sqref="B5"/>
    </sheetView>
  </sheetViews>
  <sheetFormatPr baseColWidth="10" defaultRowHeight="15" x14ac:dyDescent="0.25"/>
  <cols>
    <col min="1" max="1" width="46.85546875" style="400" customWidth="1"/>
    <col min="2" max="2" width="13" style="400" customWidth="1"/>
    <col min="3" max="3" width="30.28515625" style="400" customWidth="1"/>
    <col min="4" max="4" width="11.28515625" style="400" customWidth="1"/>
    <col min="5" max="5" width="12.42578125" style="520" customWidth="1"/>
    <col min="6" max="6" width="12.42578125" style="524" customWidth="1"/>
    <col min="7" max="7" width="12.42578125" style="400" customWidth="1"/>
    <col min="8" max="8" width="23.42578125" style="400" customWidth="1"/>
    <col min="9" max="9" width="6.140625" style="400" customWidth="1"/>
    <col min="10" max="10" width="13.5703125" style="400" customWidth="1"/>
    <col min="11" max="11" width="29.85546875" style="400" customWidth="1"/>
    <col min="12" max="12" width="10.140625" style="400" customWidth="1"/>
    <col min="13" max="13" width="12.5703125" style="520" customWidth="1"/>
    <col min="14" max="14" width="12.5703125" style="524" customWidth="1"/>
    <col min="15" max="15" width="12.5703125" style="400" customWidth="1"/>
    <col min="16" max="16" width="24.7109375" style="400" customWidth="1"/>
    <col min="17" max="17" width="6.28515625" style="400" customWidth="1"/>
    <col min="18" max="18" width="26.85546875" style="400" customWidth="1"/>
    <col min="19" max="19" width="12" style="400" customWidth="1"/>
    <col min="20" max="16384" width="11.42578125" style="400"/>
  </cols>
  <sheetData>
    <row r="1" spans="1:21" ht="28.5" customHeight="1" x14ac:dyDescent="0.25">
      <c r="A1" s="1589" t="s">
        <v>1297</v>
      </c>
      <c r="B1" s="1506" t="s">
        <v>652</v>
      </c>
      <c r="C1" s="1590"/>
      <c r="D1" s="1590"/>
      <c r="E1" s="1590"/>
      <c r="F1" s="1590"/>
      <c r="G1" s="1590"/>
      <c r="H1" s="1590"/>
      <c r="I1" s="1590"/>
      <c r="J1" s="1590"/>
      <c r="K1" s="1590"/>
      <c r="L1" s="1590"/>
      <c r="M1" s="1590"/>
      <c r="N1" s="1590"/>
      <c r="O1" s="1590"/>
    </row>
    <row r="2" spans="1:21" ht="28.5" customHeight="1" x14ac:dyDescent="0.25">
      <c r="A2" s="1590"/>
      <c r="C2" s="1506" t="s">
        <v>629</v>
      </c>
      <c r="D2" s="1293"/>
      <c r="E2" s="1293"/>
      <c r="F2" s="1293"/>
      <c r="G2" s="1293"/>
      <c r="K2" s="1506" t="s">
        <v>629</v>
      </c>
      <c r="L2" s="1293"/>
      <c r="M2" s="1293"/>
      <c r="N2" s="1293"/>
      <c r="O2" s="1293"/>
      <c r="P2" s="181"/>
    </row>
    <row r="3" spans="1:21" ht="36.75" customHeight="1" x14ac:dyDescent="0.25">
      <c r="A3" s="1590"/>
      <c r="B3" s="567"/>
      <c r="C3" s="546" t="s">
        <v>634</v>
      </c>
      <c r="D3" s="573"/>
      <c r="E3" s="1469" t="s">
        <v>633</v>
      </c>
      <c r="F3" s="1469"/>
      <c r="G3" s="1469"/>
      <c r="H3" s="544" t="s">
        <v>1208</v>
      </c>
      <c r="I3" s="122"/>
      <c r="J3" s="567"/>
      <c r="K3" s="546" t="s">
        <v>634</v>
      </c>
      <c r="L3" s="573"/>
      <c r="M3" s="1469" t="s">
        <v>633</v>
      </c>
      <c r="N3" s="1469"/>
      <c r="O3" s="1469"/>
      <c r="P3" s="544" t="s">
        <v>1208</v>
      </c>
      <c r="R3" s="1293" t="s">
        <v>651</v>
      </c>
      <c r="S3" s="1293"/>
      <c r="T3" s="1293"/>
      <c r="U3" s="1293"/>
    </row>
    <row r="4" spans="1:21" ht="18.75" x14ac:dyDescent="0.25">
      <c r="A4" s="1590"/>
      <c r="B4" s="574" t="s">
        <v>630</v>
      </c>
      <c r="C4" s="114" t="s">
        <v>631</v>
      </c>
      <c r="D4" s="114" t="s">
        <v>33</v>
      </c>
      <c r="E4" s="531" t="s">
        <v>645</v>
      </c>
      <c r="F4" s="563" t="s">
        <v>646</v>
      </c>
      <c r="G4" s="562" t="s">
        <v>618</v>
      </c>
      <c r="H4" s="549"/>
      <c r="I4" s="519"/>
      <c r="J4" s="574" t="s">
        <v>630</v>
      </c>
      <c r="K4" s="114" t="s">
        <v>631</v>
      </c>
      <c r="L4" s="114" t="s">
        <v>33</v>
      </c>
      <c r="M4" s="531" t="s">
        <v>645</v>
      </c>
      <c r="N4" s="563" t="s">
        <v>646</v>
      </c>
      <c r="O4" s="572" t="s">
        <v>618</v>
      </c>
      <c r="P4" s="549"/>
      <c r="S4" s="1293" t="s">
        <v>621</v>
      </c>
      <c r="T4" s="1293"/>
      <c r="U4" s="1293"/>
    </row>
    <row r="5" spans="1:21" ht="18" customHeight="1" x14ac:dyDescent="0.25">
      <c r="A5" s="1590"/>
      <c r="B5" s="1246">
        <v>2018</v>
      </c>
      <c r="C5" s="575" t="s">
        <v>622</v>
      </c>
      <c r="D5" s="558">
        <v>40</v>
      </c>
      <c r="E5" s="528">
        <f>VLOOKUP($C5,$R$6:$U$38,2,FALSE)*$D5</f>
        <v>72</v>
      </c>
      <c r="F5" s="526">
        <f>VLOOKUP($C5,$R$6:$U$38,3,FALSE)*$D5</f>
        <v>40</v>
      </c>
      <c r="G5" s="541">
        <f>VLOOKUP($C5,$R$6:$U$38,4,FALSE)*$D5</f>
        <v>20</v>
      </c>
      <c r="H5" s="550"/>
      <c r="I5" s="541"/>
      <c r="J5" s="1246">
        <v>1</v>
      </c>
      <c r="K5" s="575" t="s">
        <v>653</v>
      </c>
      <c r="L5" s="558">
        <v>80</v>
      </c>
      <c r="M5" s="528">
        <f>VLOOKUP($K5,$R$6:$U$38,2,FALSE)*$L5</f>
        <v>83.2</v>
      </c>
      <c r="N5" s="526">
        <f>VLOOKUP($K5,$R$6:$U$38,3,FALSE)*$L5</f>
        <v>137.6</v>
      </c>
      <c r="O5" s="566">
        <f>VLOOKUP($K5,$R$6:$U$38,4,FALSE)*$L5</f>
        <v>28.799999999999997</v>
      </c>
      <c r="P5" s="550"/>
      <c r="S5" s="400" t="s">
        <v>619</v>
      </c>
      <c r="T5" s="400" t="s">
        <v>620</v>
      </c>
      <c r="U5" s="400" t="s">
        <v>618</v>
      </c>
    </row>
    <row r="6" spans="1:21" ht="18" customHeight="1" x14ac:dyDescent="0.25">
      <c r="A6" s="1590"/>
      <c r="B6" s="1246">
        <v>2019</v>
      </c>
      <c r="C6" s="575" t="s">
        <v>659</v>
      </c>
      <c r="D6" s="558">
        <v>80</v>
      </c>
      <c r="E6" s="528">
        <f>VLOOKUP($C6,$R$6:$U$38,2,FALSE)*$D6</f>
        <v>64</v>
      </c>
      <c r="F6" s="526">
        <f>VLOOKUP($C6,$R$6:$U$38,3,FALSE)*$D6</f>
        <v>48</v>
      </c>
      <c r="G6" s="541">
        <f>VLOOKUP($C6,$R$6:$U$38,4,FALSE)*$D6</f>
        <v>16</v>
      </c>
      <c r="H6" s="550"/>
      <c r="I6" s="541"/>
      <c r="J6" s="1246">
        <v>2</v>
      </c>
      <c r="K6" s="575" t="s">
        <v>660</v>
      </c>
      <c r="L6" s="558">
        <v>70</v>
      </c>
      <c r="M6" s="528">
        <f>VLOOKUP($K6,$R$6:$U$38,2,FALSE)*$L6</f>
        <v>56</v>
      </c>
      <c r="N6" s="526">
        <f>VLOOKUP($K6,$R$6:$U$38,3,FALSE)*$L6</f>
        <v>42</v>
      </c>
      <c r="O6" s="566">
        <f>VLOOKUP($K6,$R$6:$U$38,4,FALSE)*$L6</f>
        <v>14</v>
      </c>
      <c r="P6" s="550"/>
      <c r="R6" s="400" t="s">
        <v>659</v>
      </c>
      <c r="S6" s="400">
        <v>0.8</v>
      </c>
      <c r="T6" s="400">
        <v>0.6</v>
      </c>
      <c r="U6" s="400">
        <v>0.2</v>
      </c>
    </row>
    <row r="7" spans="1:21" ht="18" customHeight="1" x14ac:dyDescent="0.25">
      <c r="A7" s="1590"/>
      <c r="B7" s="1246">
        <v>2020</v>
      </c>
      <c r="C7" s="575" t="s">
        <v>656</v>
      </c>
      <c r="D7" s="558">
        <v>70</v>
      </c>
      <c r="E7" s="529">
        <f>VLOOKUP($C7,$R$6:$U$38,2,FALSE)*$D7</f>
        <v>70.7</v>
      </c>
      <c r="F7" s="527">
        <f>VLOOKUP($C7,$R$6:$U$38,3,FALSE)*$D7</f>
        <v>125.3</v>
      </c>
      <c r="G7" s="564">
        <f>VLOOKUP($C7,$R$6:$U$38,4,FALSE)*$D7</f>
        <v>23.8</v>
      </c>
      <c r="H7" s="550"/>
      <c r="I7" s="541"/>
      <c r="J7" s="1246">
        <v>3</v>
      </c>
      <c r="K7" s="575" t="s">
        <v>663</v>
      </c>
      <c r="L7" s="558">
        <v>50</v>
      </c>
      <c r="M7" s="529">
        <f>VLOOKUP($K7,$R$6:$U$38,2,FALSE)*$L7</f>
        <v>40</v>
      </c>
      <c r="N7" s="527">
        <f>VLOOKUP($K7,$R$6:$U$38,3,FALSE)*$L7</f>
        <v>30</v>
      </c>
      <c r="O7" s="565">
        <f>VLOOKUP($K7,$R$6:$U$38,4,FALSE)*$L7</f>
        <v>10</v>
      </c>
      <c r="P7" s="550"/>
      <c r="R7" s="400" t="s">
        <v>653</v>
      </c>
      <c r="S7" s="400">
        <v>1.04</v>
      </c>
      <c r="T7" s="400">
        <v>1.72</v>
      </c>
      <c r="U7" s="400">
        <v>0.36</v>
      </c>
    </row>
    <row r="8" spans="1:21" ht="18" customHeight="1" x14ac:dyDescent="0.25">
      <c r="A8" s="1590"/>
      <c r="B8" s="559"/>
      <c r="D8" s="146" t="s">
        <v>638</v>
      </c>
      <c r="E8" s="576">
        <f>SUM(E5:E7)</f>
        <v>206.7</v>
      </c>
      <c r="F8" s="577">
        <f t="shared" ref="F8:G8" si="0">SUM(F5:F7)</f>
        <v>213.3</v>
      </c>
      <c r="G8" s="542">
        <f t="shared" si="0"/>
        <v>59.8</v>
      </c>
      <c r="H8" s="551"/>
      <c r="I8" s="542"/>
      <c r="J8" s="559"/>
      <c r="L8" s="146" t="s">
        <v>638</v>
      </c>
      <c r="M8" s="576">
        <f>SUM(M5:M7)</f>
        <v>179.2</v>
      </c>
      <c r="N8" s="577">
        <f t="shared" ref="N8" si="1">SUM(N5:N7)</f>
        <v>209.6</v>
      </c>
      <c r="O8" s="542">
        <f t="shared" ref="O8" si="2">SUM(O5:O7)</f>
        <v>52.8</v>
      </c>
      <c r="P8" s="551"/>
      <c r="R8" s="400" t="s">
        <v>660</v>
      </c>
      <c r="S8" s="400">
        <v>0.8</v>
      </c>
      <c r="T8" s="400">
        <v>0.6</v>
      </c>
      <c r="U8" s="400">
        <v>0.2</v>
      </c>
    </row>
    <row r="9" spans="1:21" ht="30.75" customHeight="1" x14ac:dyDescent="0.25">
      <c r="A9" s="1590"/>
      <c r="B9" s="559"/>
      <c r="D9" s="537" t="s">
        <v>639</v>
      </c>
      <c r="E9" s="568" t="s">
        <v>3</v>
      </c>
      <c r="F9" s="569" t="s">
        <v>2</v>
      </c>
      <c r="G9" s="570" t="s">
        <v>470</v>
      </c>
      <c r="H9" s="551"/>
      <c r="I9" s="542"/>
      <c r="J9" s="559"/>
      <c r="L9" s="537" t="s">
        <v>639</v>
      </c>
      <c r="M9" s="568" t="s">
        <v>3</v>
      </c>
      <c r="N9" s="569" t="s">
        <v>2</v>
      </c>
      <c r="O9" s="571" t="s">
        <v>2</v>
      </c>
      <c r="P9" s="551"/>
      <c r="R9" s="400" t="s">
        <v>654</v>
      </c>
      <c r="S9" s="400">
        <v>1.07</v>
      </c>
      <c r="T9" s="400">
        <v>2.4</v>
      </c>
      <c r="U9" s="400">
        <v>0.38</v>
      </c>
    </row>
    <row r="10" spans="1:21" ht="22.5" customHeight="1" x14ac:dyDescent="0.25">
      <c r="A10" s="1590"/>
      <c r="B10" s="560"/>
      <c r="C10" s="521" t="s">
        <v>641</v>
      </c>
      <c r="D10" s="561" t="s">
        <v>328</v>
      </c>
      <c r="E10" s="538">
        <f>IF(E9="E",0,IF(E9="D",E8*0.5,IF(E9="C",E8,IF(E9="B",E8*1.5,IF(E9="A",E8*2)))))</f>
        <v>0</v>
      </c>
      <c r="F10" s="539">
        <f t="shared" ref="F10:G10" si="3">IF(F9="E",0,IF(F9="D",F8*0.5,IF(F9="C",F8,IF(F9="B",F8*1.5,IF(F9="A",F8*2)))))</f>
        <v>213.3</v>
      </c>
      <c r="G10" s="545">
        <f t="shared" si="3"/>
        <v>119.6</v>
      </c>
      <c r="H10" s="552"/>
      <c r="I10" s="543"/>
      <c r="J10" s="560"/>
      <c r="K10" s="521" t="s">
        <v>641</v>
      </c>
      <c r="L10" s="561" t="s">
        <v>328</v>
      </c>
      <c r="M10" s="538">
        <f>IF(M9="E",0,IF(M9="D",M8*0.5,IF(M9="C",M8,IF(M9="B",M8*1.5,IF(M9="A",M8*2)))))</f>
        <v>0</v>
      </c>
      <c r="N10" s="539">
        <f t="shared" ref="N10" si="4">IF(N9="E",0,IF(N9="D",N8*0.5,IF(N9="C",N8,IF(N9="B",N8*1.5,IF(N9="A",N8*2)))))</f>
        <v>209.6</v>
      </c>
      <c r="O10" s="540">
        <f t="shared" ref="O10" si="5">IF(O9="E",0,IF(O9="D",O8*0.5,IF(O9="C",O8,IF(O9="B",O8*1.5,IF(O9="A",O8*2)))))</f>
        <v>52.8</v>
      </c>
      <c r="P10" s="552"/>
      <c r="R10" s="400" t="s">
        <v>661</v>
      </c>
      <c r="S10" s="400">
        <v>0.8</v>
      </c>
      <c r="T10" s="400">
        <v>0.6</v>
      </c>
      <c r="U10" s="400">
        <v>0.2</v>
      </c>
    </row>
    <row r="11" spans="1:21" ht="19.5" customHeight="1" x14ac:dyDescent="0.25">
      <c r="A11" s="1590"/>
      <c r="R11" s="400" t="s">
        <v>655</v>
      </c>
      <c r="S11" s="400">
        <v>1.07</v>
      </c>
      <c r="T11" s="400">
        <v>2.13</v>
      </c>
      <c r="U11" s="400">
        <v>0.38</v>
      </c>
    </row>
    <row r="12" spans="1:21" ht="19.5" customHeight="1" x14ac:dyDescent="0.25">
      <c r="A12" s="1590"/>
      <c r="R12" s="400" t="s">
        <v>662</v>
      </c>
      <c r="S12" s="400">
        <v>0.8</v>
      </c>
      <c r="T12" s="400">
        <v>0.6</v>
      </c>
      <c r="U12" s="400">
        <v>0.2</v>
      </c>
    </row>
    <row r="13" spans="1:21" ht="31.5" customHeight="1" x14ac:dyDescent="0.25">
      <c r="A13" s="1590"/>
      <c r="B13" s="567"/>
      <c r="C13" s="546" t="s">
        <v>635</v>
      </c>
      <c r="D13" s="573"/>
      <c r="E13" s="1469" t="s">
        <v>633</v>
      </c>
      <c r="F13" s="1469"/>
      <c r="G13" s="1469"/>
      <c r="H13" s="544" t="s">
        <v>1208</v>
      </c>
      <c r="I13" s="114"/>
      <c r="J13" s="567"/>
      <c r="K13" s="546" t="s">
        <v>635</v>
      </c>
      <c r="L13" s="573"/>
      <c r="M13" s="1469" t="s">
        <v>633</v>
      </c>
      <c r="N13" s="1469"/>
      <c r="O13" s="1469"/>
      <c r="P13" s="544" t="s">
        <v>1208</v>
      </c>
      <c r="R13" s="400" t="s">
        <v>656</v>
      </c>
      <c r="S13" s="400">
        <v>1.01</v>
      </c>
      <c r="T13" s="400">
        <v>1.79</v>
      </c>
      <c r="U13" s="400">
        <v>0.34</v>
      </c>
    </row>
    <row r="14" spans="1:21" ht="18.75" x14ac:dyDescent="0.25">
      <c r="A14" s="1590"/>
      <c r="B14" s="574" t="s">
        <v>630</v>
      </c>
      <c r="C14" s="114" t="s">
        <v>631</v>
      </c>
      <c r="D14" s="114" t="s">
        <v>33</v>
      </c>
      <c r="E14" s="531" t="s">
        <v>645</v>
      </c>
      <c r="F14" s="563" t="s">
        <v>646</v>
      </c>
      <c r="G14" s="572" t="s">
        <v>618</v>
      </c>
      <c r="H14" s="549"/>
      <c r="I14" s="519"/>
      <c r="J14" s="574" t="s">
        <v>630</v>
      </c>
      <c r="K14" s="114" t="s">
        <v>631</v>
      </c>
      <c r="L14" s="114" t="s">
        <v>33</v>
      </c>
      <c r="M14" s="532" t="s">
        <v>645</v>
      </c>
      <c r="N14" s="533" t="s">
        <v>646</v>
      </c>
      <c r="O14" s="534" t="s">
        <v>618</v>
      </c>
      <c r="P14" s="549"/>
      <c r="R14" s="400" t="s">
        <v>663</v>
      </c>
      <c r="S14" s="400">
        <v>0.8</v>
      </c>
      <c r="T14" s="400">
        <v>0.6</v>
      </c>
      <c r="U14" s="400">
        <v>0.2</v>
      </c>
    </row>
    <row r="15" spans="1:21" x14ac:dyDescent="0.25">
      <c r="A15" s="1590"/>
      <c r="B15" s="1246">
        <v>1</v>
      </c>
      <c r="C15" s="575" t="s">
        <v>126</v>
      </c>
      <c r="D15" s="558">
        <v>700</v>
      </c>
      <c r="E15" s="530">
        <f>VLOOKUP($C15,$R$6:$U$38,2,FALSE)*$D15</f>
        <v>70</v>
      </c>
      <c r="F15" s="525">
        <f>VLOOKUP($C15,$R$6:$U$38,3,FALSE)*$D15</f>
        <v>175</v>
      </c>
      <c r="G15" s="523">
        <f>VLOOKUP($C15,$R$6:$U$38,4,FALSE)*$D15</f>
        <v>56</v>
      </c>
      <c r="H15" s="554"/>
      <c r="I15" s="541"/>
      <c r="J15" s="1246">
        <v>1</v>
      </c>
      <c r="K15" s="575" t="s">
        <v>137</v>
      </c>
      <c r="L15" s="558">
        <v>400</v>
      </c>
      <c r="M15" s="530">
        <f>VLOOKUP($K15,$R$6:$U$38,2,FALSE)*$L15</f>
        <v>56.000000000000007</v>
      </c>
      <c r="N15" s="525">
        <f>VLOOKUP($K15,$R$6:$U$38,3,FALSE)*$L15</f>
        <v>240</v>
      </c>
      <c r="O15" s="523">
        <f>VLOOKUP($K15,$R$6:$U$38,4,FALSE)*$L15</f>
        <v>16</v>
      </c>
      <c r="P15" s="554"/>
      <c r="R15" s="400" t="s">
        <v>657</v>
      </c>
      <c r="S15" s="400">
        <v>1.1299999999999999</v>
      </c>
      <c r="T15" s="400">
        <v>2.4700000000000002</v>
      </c>
      <c r="U15" s="400">
        <v>0.42</v>
      </c>
    </row>
    <row r="16" spans="1:21" x14ac:dyDescent="0.25">
      <c r="A16" s="1590"/>
      <c r="B16" s="1246">
        <v>2</v>
      </c>
      <c r="C16" s="575" t="s">
        <v>659</v>
      </c>
      <c r="D16" s="558">
        <v>80</v>
      </c>
      <c r="E16" s="528">
        <f>VLOOKUP($C16,$R$6:$U$38,2,FALSE)*$D16</f>
        <v>64</v>
      </c>
      <c r="F16" s="526">
        <f>VLOOKUP($C16,$R$6:$U$38,3,FALSE)*$D16</f>
        <v>48</v>
      </c>
      <c r="G16" s="566">
        <f>VLOOKUP($C16,$R$6:$U$38,4,FALSE)*$D16</f>
        <v>16</v>
      </c>
      <c r="H16" s="554"/>
      <c r="I16" s="541"/>
      <c r="J16" s="1246">
        <v>2</v>
      </c>
      <c r="K16" s="575" t="s">
        <v>660</v>
      </c>
      <c r="L16" s="558">
        <v>80</v>
      </c>
      <c r="M16" s="528">
        <f>VLOOKUP($K16,$R$6:$U$38,2,FALSE)*$L16</f>
        <v>64</v>
      </c>
      <c r="N16" s="526">
        <f>VLOOKUP($K16,$R$6:$U$38,3,FALSE)*$L16</f>
        <v>48</v>
      </c>
      <c r="O16" s="566">
        <f>VLOOKUP($K16,$R$6:$U$38,4,FALSE)*$L16</f>
        <v>16</v>
      </c>
      <c r="P16" s="554"/>
      <c r="R16" s="400" t="s">
        <v>665</v>
      </c>
      <c r="S16" s="400">
        <v>0.8</v>
      </c>
      <c r="T16" s="400">
        <v>0.6</v>
      </c>
      <c r="U16" s="400">
        <v>0.2</v>
      </c>
    </row>
    <row r="17" spans="1:21" x14ac:dyDescent="0.25">
      <c r="A17" s="1590"/>
      <c r="B17" s="1246">
        <v>3</v>
      </c>
      <c r="C17" s="575" t="s">
        <v>654</v>
      </c>
      <c r="D17" s="558">
        <v>70</v>
      </c>
      <c r="E17" s="528">
        <f>VLOOKUP($C17,$R$6:$U$38,2,FALSE)*$D17</f>
        <v>74.900000000000006</v>
      </c>
      <c r="F17" s="526">
        <f>VLOOKUP($C17,$R$6:$U$38,3,FALSE)*$D17</f>
        <v>168</v>
      </c>
      <c r="G17" s="566">
        <f>VLOOKUP($C17,$R$6:$U$38,4,FALSE)*$D17</f>
        <v>26.6</v>
      </c>
      <c r="H17" s="554"/>
      <c r="I17" s="541"/>
      <c r="J17" s="1246">
        <v>3</v>
      </c>
      <c r="K17" s="575" t="s">
        <v>656</v>
      </c>
      <c r="L17" s="558">
        <v>75</v>
      </c>
      <c r="M17" s="528">
        <f>VLOOKUP($K17,$R$6:$U$38,2,FALSE)*$L17</f>
        <v>75.75</v>
      </c>
      <c r="N17" s="526">
        <f>VLOOKUP($K17,$R$6:$U$38,3,FALSE)*$L17</f>
        <v>134.25</v>
      </c>
      <c r="O17" s="566">
        <f>VLOOKUP($K17,$R$6:$U$38,4,FALSE)*$L17</f>
        <v>25.500000000000004</v>
      </c>
      <c r="P17" s="554"/>
      <c r="R17" s="400" t="s">
        <v>658</v>
      </c>
      <c r="S17" s="400">
        <v>1.1000000000000001</v>
      </c>
      <c r="T17" s="400">
        <v>2</v>
      </c>
      <c r="U17" s="400">
        <v>0.4</v>
      </c>
    </row>
    <row r="18" spans="1:21" x14ac:dyDescent="0.25">
      <c r="A18" s="1590"/>
      <c r="B18" s="1246">
        <v>4</v>
      </c>
      <c r="C18" s="575" t="s">
        <v>663</v>
      </c>
      <c r="D18" s="558">
        <v>70</v>
      </c>
      <c r="E18" s="529">
        <f>VLOOKUP($C18,$R$6:$U$38,2,FALSE)*$D18</f>
        <v>56</v>
      </c>
      <c r="F18" s="527">
        <f>VLOOKUP($C18,$R$6:$U$38,3,FALSE)*$D18</f>
        <v>42</v>
      </c>
      <c r="G18" s="565">
        <f>VLOOKUP($C18,$R$6:$U$38,4,FALSE)*$D18</f>
        <v>14</v>
      </c>
      <c r="H18" s="554"/>
      <c r="I18" s="541"/>
      <c r="J18" s="1246">
        <v>4</v>
      </c>
      <c r="K18" s="575" t="s">
        <v>660</v>
      </c>
      <c r="L18" s="558">
        <v>70</v>
      </c>
      <c r="M18" s="529">
        <f>VLOOKUP($K18,$R$6:$U$38,2,FALSE)*$L18</f>
        <v>56</v>
      </c>
      <c r="N18" s="527">
        <f>VLOOKUP($K18,$R$6:$U$38,3,FALSE)*$L18</f>
        <v>42</v>
      </c>
      <c r="O18" s="565">
        <f>VLOOKUP($K18,$R$6:$U$38,4,FALSE)*$L18</f>
        <v>14</v>
      </c>
      <c r="P18" s="554"/>
      <c r="R18" s="400" t="s">
        <v>154</v>
      </c>
      <c r="S18" s="400">
        <v>0.8</v>
      </c>
      <c r="T18" s="400">
        <v>0.5</v>
      </c>
      <c r="U18" s="400">
        <v>0.2</v>
      </c>
    </row>
    <row r="19" spans="1:21" x14ac:dyDescent="0.25">
      <c r="A19" s="1590"/>
      <c r="B19" s="559"/>
      <c r="D19" s="146" t="s">
        <v>638</v>
      </c>
      <c r="E19" s="576">
        <f>SUM(E15:E18)</f>
        <v>264.89999999999998</v>
      </c>
      <c r="F19" s="577">
        <f t="shared" ref="F19:G19" si="6">SUM(F15:F18)</f>
        <v>433</v>
      </c>
      <c r="G19" s="542">
        <f t="shared" si="6"/>
        <v>112.6</v>
      </c>
      <c r="H19" s="554"/>
      <c r="I19" s="542"/>
      <c r="J19" s="1247"/>
      <c r="L19" s="146" t="s">
        <v>638</v>
      </c>
      <c r="M19" s="576">
        <f>SUM(M15:M18)</f>
        <v>251.75</v>
      </c>
      <c r="N19" s="577">
        <f t="shared" ref="N19" si="7">SUM(N15:N18)</f>
        <v>464.25</v>
      </c>
      <c r="O19" s="542">
        <f t="shared" ref="O19" si="8">SUM(O15:O18)</f>
        <v>71.5</v>
      </c>
      <c r="P19" s="554"/>
      <c r="R19" s="400" t="s">
        <v>666</v>
      </c>
      <c r="S19" s="400">
        <v>1.2</v>
      </c>
      <c r="T19" s="400">
        <v>1.4</v>
      </c>
      <c r="U19" s="400">
        <v>0.2</v>
      </c>
    </row>
    <row r="20" spans="1:21" ht="30" x14ac:dyDescent="0.25">
      <c r="A20" s="1590"/>
      <c r="B20" s="559"/>
      <c r="D20" s="537" t="s">
        <v>639</v>
      </c>
      <c r="E20" s="568" t="s">
        <v>2</v>
      </c>
      <c r="F20" s="569" t="s">
        <v>471</v>
      </c>
      <c r="G20" s="571" t="s">
        <v>640</v>
      </c>
      <c r="H20" s="554"/>
      <c r="I20" s="542"/>
      <c r="J20" s="559"/>
      <c r="L20" s="537" t="s">
        <v>639</v>
      </c>
      <c r="M20" s="547" t="s">
        <v>2</v>
      </c>
      <c r="N20" s="548" t="s">
        <v>471</v>
      </c>
      <c r="O20" s="553" t="s">
        <v>640</v>
      </c>
      <c r="P20" s="554"/>
      <c r="R20" s="400" t="s">
        <v>667</v>
      </c>
      <c r="S20" s="400">
        <v>1.1000000000000001</v>
      </c>
      <c r="T20" s="400">
        <v>1.4</v>
      </c>
      <c r="U20" s="400">
        <v>0.2</v>
      </c>
    </row>
    <row r="21" spans="1:21" ht="23.25" customHeight="1" x14ac:dyDescent="0.25">
      <c r="A21" s="1590"/>
      <c r="B21" s="560"/>
      <c r="C21" s="521" t="s">
        <v>642</v>
      </c>
      <c r="D21" s="561" t="s">
        <v>328</v>
      </c>
      <c r="E21" s="538">
        <f>IF(E20="E",0,IF(E20="D",E19*0.5,IF(E20="C",E19,IF(E20="B",E19*1.5,IF(E20="A",E19*2)))))</f>
        <v>264.89999999999998</v>
      </c>
      <c r="F21" s="539">
        <f t="shared" ref="F21" si="9">IF(F20="E",0,IF(F20="D",F19*0.5,IF(F20="C",F19,IF(F20="B",F19*1.5,IF(F20="A",F19*2)))))</f>
        <v>649.5</v>
      </c>
      <c r="G21" s="540">
        <f t="shared" ref="G21" si="10">IF(G20="E",0,IF(G20="D",G19*0.5,IF(G20="C",G19,IF(G20="B",G19*1.5,IF(G20="A",G19*2)))))</f>
        <v>56.3</v>
      </c>
      <c r="H21" s="555"/>
      <c r="I21" s="543"/>
      <c r="J21" s="560"/>
      <c r="K21" s="521" t="s">
        <v>642</v>
      </c>
      <c r="L21" s="561" t="s">
        <v>328</v>
      </c>
      <c r="M21" s="538">
        <f>IF(M20="E",0,IF(M20="D",M19*0.5,IF(M20="C",M19,IF(M20="B",M19*1.5,IF(M20="A",M19*2)))))</f>
        <v>251.75</v>
      </c>
      <c r="N21" s="539">
        <f t="shared" ref="N21" si="11">IF(N20="E",0,IF(N20="D",N19*0.5,IF(N20="C",N19,IF(N20="B",N19*1.5,IF(N20="A",N19*2)))))</f>
        <v>696.375</v>
      </c>
      <c r="O21" s="540">
        <f t="shared" ref="O21" si="12">IF(O20="E",0,IF(O20="D",O19*0.5,IF(O20="C",O19,IF(O20="B",O19*1.5,IF(O20="A",O19*2)))))</f>
        <v>35.75</v>
      </c>
      <c r="P21" s="555"/>
      <c r="R21" s="400" t="s">
        <v>668</v>
      </c>
      <c r="S21" s="400">
        <v>1.4</v>
      </c>
      <c r="T21" s="400">
        <v>4</v>
      </c>
      <c r="U21" s="400">
        <v>0.5</v>
      </c>
    </row>
    <row r="22" spans="1:21" x14ac:dyDescent="0.25">
      <c r="A22" s="1590"/>
      <c r="R22" s="400" t="s">
        <v>669</v>
      </c>
      <c r="S22" s="400">
        <v>1.5</v>
      </c>
      <c r="T22" s="400">
        <v>1.9</v>
      </c>
      <c r="U22" s="400">
        <v>0.3</v>
      </c>
    </row>
    <row r="23" spans="1:21" x14ac:dyDescent="0.25">
      <c r="A23" s="1590"/>
      <c r="R23" s="400" t="s">
        <v>622</v>
      </c>
      <c r="S23" s="400">
        <v>1.8</v>
      </c>
      <c r="T23" s="400">
        <v>1</v>
      </c>
      <c r="U23" s="400">
        <v>0.5</v>
      </c>
    </row>
    <row r="24" spans="1:21" ht="30.75" customHeight="1" x14ac:dyDescent="0.25">
      <c r="A24" s="1590"/>
      <c r="B24" s="567"/>
      <c r="C24" s="546" t="s">
        <v>636</v>
      </c>
      <c r="D24" s="573"/>
      <c r="E24" s="1469" t="s">
        <v>633</v>
      </c>
      <c r="F24" s="1469"/>
      <c r="G24" s="1469"/>
      <c r="H24" s="544" t="s">
        <v>1208</v>
      </c>
      <c r="I24" s="114"/>
      <c r="J24" s="567"/>
      <c r="K24" s="546" t="s">
        <v>636</v>
      </c>
      <c r="L24" s="573"/>
      <c r="M24" s="1469" t="s">
        <v>633</v>
      </c>
      <c r="N24" s="1469"/>
      <c r="O24" s="1469"/>
      <c r="P24" s="544" t="s">
        <v>1208</v>
      </c>
      <c r="R24" s="400" t="s">
        <v>623</v>
      </c>
      <c r="S24" s="400">
        <v>2.5</v>
      </c>
      <c r="T24" s="400">
        <v>5.25</v>
      </c>
      <c r="U24" s="400">
        <v>0.8</v>
      </c>
    </row>
    <row r="25" spans="1:21" ht="18.75" x14ac:dyDescent="0.25">
      <c r="A25" s="1590"/>
      <c r="B25" s="574" t="s">
        <v>630</v>
      </c>
      <c r="C25" s="114" t="s">
        <v>631</v>
      </c>
      <c r="D25" s="114" t="s">
        <v>33</v>
      </c>
      <c r="E25" s="531" t="s">
        <v>645</v>
      </c>
      <c r="F25" s="563" t="s">
        <v>646</v>
      </c>
      <c r="G25" s="562" t="s">
        <v>618</v>
      </c>
      <c r="H25" s="549"/>
      <c r="I25" s="519"/>
      <c r="J25" s="574" t="s">
        <v>630</v>
      </c>
      <c r="K25" s="114" t="s">
        <v>631</v>
      </c>
      <c r="L25" s="114" t="s">
        <v>33</v>
      </c>
      <c r="M25" s="532" t="s">
        <v>645</v>
      </c>
      <c r="N25" s="533" t="s">
        <v>646</v>
      </c>
      <c r="O25" s="534" t="s">
        <v>618</v>
      </c>
      <c r="P25" s="549"/>
      <c r="R25" s="400" t="s">
        <v>624</v>
      </c>
      <c r="S25" s="400">
        <v>1.6</v>
      </c>
      <c r="T25" s="400">
        <v>2.4</v>
      </c>
      <c r="U25" s="400">
        <v>0.6</v>
      </c>
    </row>
    <row r="26" spans="1:21" x14ac:dyDescent="0.25">
      <c r="A26" s="1590"/>
      <c r="B26" s="1246">
        <v>1</v>
      </c>
      <c r="C26" s="575" t="s">
        <v>626</v>
      </c>
      <c r="D26" s="558">
        <v>180</v>
      </c>
      <c r="E26" s="530">
        <f>VLOOKUP($C26,$R$6:$U$38,2,FALSE)*$D26</f>
        <v>91.8</v>
      </c>
      <c r="F26" s="525">
        <f>VLOOKUP($C26,$R$6:$U$38,3,FALSE)*$D26</f>
        <v>289.8</v>
      </c>
      <c r="G26" s="522">
        <f>VLOOKUP($C26,$R$6:$U$38,4,FALSE)*$D26</f>
        <v>70.2</v>
      </c>
      <c r="H26" s="554"/>
      <c r="I26" s="541"/>
      <c r="J26" s="1246">
        <v>1</v>
      </c>
      <c r="K26" s="575" t="s">
        <v>626</v>
      </c>
      <c r="L26" s="558">
        <v>200</v>
      </c>
      <c r="M26" s="530">
        <f>VLOOKUP($K26,$R$6:$U$38,2,FALSE)*$L26</f>
        <v>102</v>
      </c>
      <c r="N26" s="525">
        <f>VLOOKUP($K26,$R$6:$U$38,3,FALSE)*$L26</f>
        <v>322</v>
      </c>
      <c r="O26" s="523">
        <f>VLOOKUP($K26,$R$6:$U$38,4,FALSE)*$L26</f>
        <v>78</v>
      </c>
      <c r="P26" s="554"/>
      <c r="R26" s="400" t="s">
        <v>670</v>
      </c>
      <c r="S26" s="400">
        <v>1.2</v>
      </c>
      <c r="T26" s="400">
        <v>1</v>
      </c>
      <c r="U26" s="400">
        <v>0.8</v>
      </c>
    </row>
    <row r="27" spans="1:21" x14ac:dyDescent="0.25">
      <c r="A27" s="1590"/>
      <c r="B27" s="1246">
        <v>2</v>
      </c>
      <c r="C27" s="575" t="s">
        <v>659</v>
      </c>
      <c r="D27" s="558">
        <v>80</v>
      </c>
      <c r="E27" s="528">
        <f>VLOOKUP($C27,$R$6:$U$38,2,FALSE)*$D27</f>
        <v>64</v>
      </c>
      <c r="F27" s="526">
        <f>VLOOKUP($C27,$R$6:$U$38,3,FALSE)*$D27</f>
        <v>48</v>
      </c>
      <c r="G27" s="541">
        <f>VLOOKUP($C27,$R$6:$U$38,4,FALSE)*$D27</f>
        <v>16</v>
      </c>
      <c r="H27" s="554"/>
      <c r="I27" s="541"/>
      <c r="J27" s="1246">
        <v>2</v>
      </c>
      <c r="K27" s="575" t="s">
        <v>659</v>
      </c>
      <c r="L27" s="558">
        <v>80</v>
      </c>
      <c r="M27" s="528">
        <f>VLOOKUP($K27,$R$6:$U$38,2,FALSE)*$L27</f>
        <v>64</v>
      </c>
      <c r="N27" s="526">
        <f>VLOOKUP($K27,$R$6:$U$38,3,FALSE)*$L27</f>
        <v>48</v>
      </c>
      <c r="O27" s="566">
        <f>VLOOKUP($K27,$R$6:$U$38,4,FALSE)*$L27</f>
        <v>16</v>
      </c>
      <c r="P27" s="554"/>
      <c r="R27" s="400" t="s">
        <v>137</v>
      </c>
      <c r="S27" s="400">
        <v>0.14000000000000001</v>
      </c>
      <c r="T27" s="400">
        <v>0.6</v>
      </c>
      <c r="U27" s="400">
        <v>0.04</v>
      </c>
    </row>
    <row r="28" spans="1:21" x14ac:dyDescent="0.25">
      <c r="A28" s="1590"/>
      <c r="B28" s="1246">
        <v>3</v>
      </c>
      <c r="C28" s="575" t="s">
        <v>626</v>
      </c>
      <c r="D28" s="558">
        <v>180</v>
      </c>
      <c r="E28" s="528">
        <f>VLOOKUP($C28,$R$6:$U$38,2,FALSE)*$D28</f>
        <v>91.8</v>
      </c>
      <c r="F28" s="526">
        <f>VLOOKUP($C28,$R$6:$U$38,3,FALSE)*$D28</f>
        <v>289.8</v>
      </c>
      <c r="G28" s="541">
        <f>VLOOKUP($C28,$R$6:$U$38,4,FALSE)*$D28</f>
        <v>70.2</v>
      </c>
      <c r="H28" s="554"/>
      <c r="I28" s="541"/>
      <c r="J28" s="1246">
        <v>3</v>
      </c>
      <c r="K28" s="575" t="s">
        <v>622</v>
      </c>
      <c r="L28" s="558">
        <v>45</v>
      </c>
      <c r="M28" s="528">
        <f>VLOOKUP($K28,$R$6:$U$38,2,FALSE)*$L28</f>
        <v>81</v>
      </c>
      <c r="N28" s="526">
        <f>VLOOKUP($K28,$R$6:$U$38,3,FALSE)*$L28</f>
        <v>45</v>
      </c>
      <c r="O28" s="566">
        <f>VLOOKUP($K28,$R$6:$U$38,4,FALSE)*$L28</f>
        <v>22.5</v>
      </c>
      <c r="P28" s="554"/>
      <c r="R28" s="400" t="s">
        <v>126</v>
      </c>
      <c r="S28" s="400">
        <v>0.1</v>
      </c>
      <c r="T28" s="400">
        <v>0.25</v>
      </c>
      <c r="U28" s="400">
        <v>0.08</v>
      </c>
    </row>
    <row r="29" spans="1:21" x14ac:dyDescent="0.25">
      <c r="A29" s="1590"/>
      <c r="B29" s="1246">
        <v>4</v>
      </c>
      <c r="C29" s="575" t="s">
        <v>659</v>
      </c>
      <c r="D29" s="558">
        <v>70</v>
      </c>
      <c r="E29" s="528">
        <f>VLOOKUP($C29,$R$6:$U$38,2,FALSE)*$D29</f>
        <v>56</v>
      </c>
      <c r="F29" s="526">
        <f>VLOOKUP($C29,$R$6:$U$38,3,FALSE)*$D29</f>
        <v>42</v>
      </c>
      <c r="G29" s="541">
        <f>VLOOKUP($C29,$R$6:$U$38,4,FALSE)*$D29</f>
        <v>14</v>
      </c>
      <c r="H29" s="554"/>
      <c r="I29" s="541"/>
      <c r="J29" s="1246">
        <v>4</v>
      </c>
      <c r="K29" s="575" t="s">
        <v>659</v>
      </c>
      <c r="L29" s="558">
        <v>70</v>
      </c>
      <c r="M29" s="528">
        <f>VLOOKUP($K29,$R$6:$U$38,2,FALSE)*$L29</f>
        <v>56</v>
      </c>
      <c r="N29" s="526">
        <f>VLOOKUP($K29,$R$6:$U$38,3,FALSE)*$L29</f>
        <v>42</v>
      </c>
      <c r="O29" s="566">
        <f>VLOOKUP($K29,$R$6:$U$38,4,FALSE)*$L29</f>
        <v>14</v>
      </c>
      <c r="P29" s="554"/>
      <c r="R29" s="400" t="s">
        <v>625</v>
      </c>
      <c r="S29" s="400">
        <v>0.18</v>
      </c>
      <c r="T29" s="400">
        <v>0.67</v>
      </c>
      <c r="U29" s="400">
        <v>0.15</v>
      </c>
    </row>
    <row r="30" spans="1:21" x14ac:dyDescent="0.25">
      <c r="A30" s="1590"/>
      <c r="B30" s="1246">
        <v>5</v>
      </c>
      <c r="C30" s="575" t="s">
        <v>657</v>
      </c>
      <c r="D30" s="558">
        <v>70</v>
      </c>
      <c r="E30" s="529">
        <f>VLOOKUP($C30,$R$6:$U$38,2,FALSE)*$D30</f>
        <v>79.099999999999994</v>
      </c>
      <c r="F30" s="527">
        <f>VLOOKUP($C30,$R$6:$U$38,3,FALSE)*$D30</f>
        <v>172.9</v>
      </c>
      <c r="G30" s="564">
        <f>VLOOKUP($C30,$R$6:$U$38,4,FALSE)*$D30</f>
        <v>29.4</v>
      </c>
      <c r="H30" s="554"/>
      <c r="I30" s="541"/>
      <c r="J30" s="1246">
        <v>5</v>
      </c>
      <c r="K30" s="575" t="s">
        <v>654</v>
      </c>
      <c r="L30" s="558">
        <v>70</v>
      </c>
      <c r="M30" s="529">
        <f>VLOOKUP($K30,$R$6:$U$38,2,FALSE)*$L30</f>
        <v>74.900000000000006</v>
      </c>
      <c r="N30" s="527">
        <f>VLOOKUP($K30,$R$6:$U$38,3,FALSE)*$L30</f>
        <v>168</v>
      </c>
      <c r="O30" s="565">
        <f>VLOOKUP($K30,$R$6:$U$38,4,FALSE)*$L30</f>
        <v>26.6</v>
      </c>
      <c r="P30" s="554"/>
      <c r="R30" s="400" t="s">
        <v>626</v>
      </c>
      <c r="S30" s="400">
        <v>0.51</v>
      </c>
      <c r="T30" s="400">
        <v>1.61</v>
      </c>
      <c r="U30" s="391">
        <v>0.39</v>
      </c>
    </row>
    <row r="31" spans="1:21" x14ac:dyDescent="0.25">
      <c r="A31" s="1590"/>
      <c r="B31" s="559"/>
      <c r="D31" s="146" t="s">
        <v>638</v>
      </c>
      <c r="E31" s="576">
        <f>SUM(E26:E30)</f>
        <v>382.70000000000005</v>
      </c>
      <c r="F31" s="577">
        <f t="shared" ref="F31:G31" si="13">SUM(F26:F30)</f>
        <v>842.5</v>
      </c>
      <c r="G31" s="542">
        <f t="shared" si="13"/>
        <v>199.8</v>
      </c>
      <c r="H31" s="554"/>
      <c r="I31" s="542"/>
      <c r="J31" s="559"/>
      <c r="L31" s="146" t="s">
        <v>638</v>
      </c>
      <c r="M31" s="576">
        <f>SUM(M26:M30)</f>
        <v>377.9</v>
      </c>
      <c r="N31" s="577">
        <f t="shared" ref="N31" si="14">SUM(N26:N30)</f>
        <v>625</v>
      </c>
      <c r="O31" s="542">
        <f t="shared" ref="O31" si="15">SUM(O26:O30)</f>
        <v>157.1</v>
      </c>
      <c r="P31" s="554"/>
      <c r="R31" s="400" t="s">
        <v>664</v>
      </c>
      <c r="S31" s="400">
        <v>0.23</v>
      </c>
      <c r="T31" s="400">
        <v>0.48</v>
      </c>
      <c r="U31" s="400">
        <v>0.1</v>
      </c>
    </row>
    <row r="32" spans="1:21" ht="30" x14ac:dyDescent="0.25">
      <c r="A32" s="1590"/>
      <c r="B32" s="559"/>
      <c r="D32" s="537" t="s">
        <v>639</v>
      </c>
      <c r="E32" s="568" t="s">
        <v>470</v>
      </c>
      <c r="F32" s="569" t="s">
        <v>2</v>
      </c>
      <c r="G32" s="570" t="s">
        <v>3</v>
      </c>
      <c r="H32" s="554"/>
      <c r="I32" s="542"/>
      <c r="J32" s="559"/>
      <c r="L32" s="537" t="s">
        <v>639</v>
      </c>
      <c r="M32" s="547" t="s">
        <v>470</v>
      </c>
      <c r="N32" s="548" t="s">
        <v>2</v>
      </c>
      <c r="O32" s="553" t="s">
        <v>3</v>
      </c>
      <c r="P32" s="554"/>
      <c r="R32" s="400" t="s">
        <v>627</v>
      </c>
      <c r="S32" s="400">
        <v>0.7</v>
      </c>
      <c r="T32" s="400">
        <v>3</v>
      </c>
      <c r="U32" s="400">
        <v>0.4</v>
      </c>
    </row>
    <row r="33" spans="1:21" ht="24" customHeight="1" x14ac:dyDescent="0.25">
      <c r="A33" s="1590"/>
      <c r="B33" s="560"/>
      <c r="C33" s="521" t="s">
        <v>643</v>
      </c>
      <c r="D33" s="561" t="s">
        <v>328</v>
      </c>
      <c r="E33" s="538">
        <f>IF(E32="E",0,IF(E32="D",E31*0.5,IF(E32="C",E31,IF(E32="B",E31*1.5,IF(E32="A",E31*2)))))</f>
        <v>765.40000000000009</v>
      </c>
      <c r="F33" s="539">
        <f t="shared" ref="F33" si="16">IF(F32="E",0,IF(F32="D",F31*0.5,IF(F32="C",F31,IF(F32="B",F31*1.5,IF(F32="A",F31*2)))))</f>
        <v>842.5</v>
      </c>
      <c r="G33" s="545">
        <f t="shared" ref="G33" si="17">IF(G32="E",0,IF(G32="D",G31*0.5,IF(G32="C",G31,IF(G32="B",G31*1.5,IF(G32="A",G31*2)))))</f>
        <v>0</v>
      </c>
      <c r="H33" s="552"/>
      <c r="I33" s="543"/>
      <c r="J33" s="560"/>
      <c r="K33" s="521" t="s">
        <v>643</v>
      </c>
      <c r="L33" s="561" t="s">
        <v>328</v>
      </c>
      <c r="M33" s="538">
        <f>IF(M32="E",0,IF(M32="D",M31*0.5,IF(M32="C",M31,IF(M32="B",M31*1.5,IF(M32="A",M31*2)))))</f>
        <v>755.8</v>
      </c>
      <c r="N33" s="539">
        <f t="shared" ref="N33" si="18">IF(N32="E",0,IF(N32="D",N31*0.5,IF(N32="C",N31,IF(N32="B",N31*1.5,IF(N32="A",N31*2)))))</f>
        <v>625</v>
      </c>
      <c r="O33" s="540">
        <f t="shared" ref="O33" si="19">IF(O32="E",0,IF(O32="D",O31*0.5,IF(O32="C",O31,IF(O32="B",O31*1.5,IF(O32="A",O31*2)))))</f>
        <v>0</v>
      </c>
      <c r="P33" s="552"/>
      <c r="R33" s="400" t="s">
        <v>628</v>
      </c>
      <c r="S33" s="400">
        <v>0.8</v>
      </c>
      <c r="T33" s="400">
        <v>3</v>
      </c>
      <c r="U33" s="400">
        <v>0.3</v>
      </c>
    </row>
    <row r="34" spans="1:21" x14ac:dyDescent="0.25">
      <c r="A34" s="1590"/>
    </row>
    <row r="35" spans="1:21" x14ac:dyDescent="0.25">
      <c r="A35" s="1590"/>
      <c r="R35" s="557" t="s">
        <v>632</v>
      </c>
      <c r="S35" s="557"/>
      <c r="T35" s="557"/>
      <c r="U35" s="557"/>
    </row>
    <row r="36" spans="1:21" ht="33.75" customHeight="1" x14ac:dyDescent="0.25">
      <c r="A36" s="1590"/>
      <c r="B36" s="567"/>
      <c r="C36" s="546" t="s">
        <v>637</v>
      </c>
      <c r="D36" s="573"/>
      <c r="E36" s="1469" t="s">
        <v>633</v>
      </c>
      <c r="F36" s="1469"/>
      <c r="G36" s="1469"/>
      <c r="H36" s="544" t="s">
        <v>1208</v>
      </c>
      <c r="I36" s="114"/>
      <c r="J36" s="567"/>
      <c r="K36" s="546" t="s">
        <v>637</v>
      </c>
      <c r="L36" s="573"/>
      <c r="M36" s="1469" t="s">
        <v>633</v>
      </c>
      <c r="N36" s="1469"/>
      <c r="O36" s="1469"/>
      <c r="P36" s="544" t="s">
        <v>1208</v>
      </c>
      <c r="R36" s="557" t="s">
        <v>632</v>
      </c>
      <c r="S36" s="557"/>
      <c r="T36" s="557"/>
      <c r="U36" s="557"/>
    </row>
    <row r="37" spans="1:21" ht="18.75" x14ac:dyDescent="0.25">
      <c r="A37" s="1590"/>
      <c r="B37" s="574" t="s">
        <v>630</v>
      </c>
      <c r="C37" s="114" t="s">
        <v>631</v>
      </c>
      <c r="D37" s="114" t="s">
        <v>33</v>
      </c>
      <c r="E37" s="532" t="s">
        <v>645</v>
      </c>
      <c r="F37" s="533" t="s">
        <v>646</v>
      </c>
      <c r="G37" s="546" t="s">
        <v>618</v>
      </c>
      <c r="H37" s="549"/>
      <c r="I37" s="519"/>
      <c r="J37" s="574" t="s">
        <v>630</v>
      </c>
      <c r="K37" s="114" t="s">
        <v>631</v>
      </c>
      <c r="L37" s="114" t="s">
        <v>33</v>
      </c>
      <c r="M37" s="532" t="s">
        <v>645</v>
      </c>
      <c r="N37" s="533" t="s">
        <v>646</v>
      </c>
      <c r="O37" s="534" t="s">
        <v>618</v>
      </c>
      <c r="P37" s="549"/>
      <c r="R37" s="557" t="s">
        <v>632</v>
      </c>
      <c r="S37" s="557"/>
      <c r="T37" s="557"/>
      <c r="U37" s="557"/>
    </row>
    <row r="38" spans="1:21" x14ac:dyDescent="0.25">
      <c r="A38" s="1590"/>
      <c r="B38" s="1246">
        <v>1</v>
      </c>
      <c r="C38" s="575" t="s">
        <v>667</v>
      </c>
      <c r="D38" s="558">
        <v>40</v>
      </c>
      <c r="E38" s="530">
        <f t="shared" ref="E38:E43" si="20">VLOOKUP($C38,$R$6:$U$38,2,FALSE)*$D38</f>
        <v>44</v>
      </c>
      <c r="F38" s="525">
        <f t="shared" ref="F38:F43" si="21">VLOOKUP($C38,$R$6:$U$38,3,FALSE)*$D38</f>
        <v>56</v>
      </c>
      <c r="G38" s="522">
        <f t="shared" ref="G38:G43" si="22">VLOOKUP($C38,$R$6:$U$38,4,FALSE)*$D38</f>
        <v>8</v>
      </c>
      <c r="H38" s="554"/>
      <c r="I38" s="541"/>
      <c r="J38" s="1246">
        <v>1</v>
      </c>
      <c r="K38" s="575" t="s">
        <v>666</v>
      </c>
      <c r="L38" s="558">
        <v>50</v>
      </c>
      <c r="M38" s="530">
        <f t="shared" ref="M38:M43" si="23">VLOOKUP($K38,$R$6:$U$38,2,FALSE)*$L38</f>
        <v>60</v>
      </c>
      <c r="N38" s="525">
        <f t="shared" ref="N38:N43" si="24">VLOOKUP($K38,$R$6:$U$38,3,FALSE)*$L38</f>
        <v>70</v>
      </c>
      <c r="O38" s="523">
        <f t="shared" ref="O38:O43" si="25">VLOOKUP($K38,$R$6:$U$38,4,FALSE)*$L38</f>
        <v>10</v>
      </c>
      <c r="P38" s="554"/>
      <c r="R38" s="557" t="s">
        <v>632</v>
      </c>
      <c r="S38" s="557"/>
      <c r="T38" s="557"/>
      <c r="U38" s="557"/>
    </row>
    <row r="39" spans="1:21" x14ac:dyDescent="0.25">
      <c r="A39" s="1590"/>
      <c r="B39" s="1246">
        <v>2</v>
      </c>
      <c r="C39" s="575" t="s">
        <v>659</v>
      </c>
      <c r="D39" s="558">
        <v>80</v>
      </c>
      <c r="E39" s="528">
        <f t="shared" si="20"/>
        <v>64</v>
      </c>
      <c r="F39" s="526">
        <f t="shared" si="21"/>
        <v>48</v>
      </c>
      <c r="G39" s="541">
        <f t="shared" si="22"/>
        <v>16</v>
      </c>
      <c r="H39" s="554"/>
      <c r="I39" s="541"/>
      <c r="J39" s="1246">
        <v>2</v>
      </c>
      <c r="K39" s="575" t="s">
        <v>659</v>
      </c>
      <c r="L39" s="558">
        <v>90</v>
      </c>
      <c r="M39" s="528">
        <f t="shared" si="23"/>
        <v>72</v>
      </c>
      <c r="N39" s="526">
        <f t="shared" si="24"/>
        <v>54</v>
      </c>
      <c r="O39" s="566">
        <f t="shared" si="25"/>
        <v>18</v>
      </c>
      <c r="P39" s="554"/>
    </row>
    <row r="40" spans="1:21" x14ac:dyDescent="0.25">
      <c r="A40" s="1590"/>
      <c r="B40" s="1246">
        <v>3</v>
      </c>
      <c r="C40" s="575" t="s">
        <v>656</v>
      </c>
      <c r="D40" s="558">
        <v>70</v>
      </c>
      <c r="E40" s="528">
        <f t="shared" si="20"/>
        <v>70.7</v>
      </c>
      <c r="F40" s="526">
        <f t="shared" si="21"/>
        <v>125.3</v>
      </c>
      <c r="G40" s="541">
        <f t="shared" si="22"/>
        <v>23.8</v>
      </c>
      <c r="H40" s="554"/>
      <c r="I40" s="541"/>
      <c r="J40" s="1246">
        <v>3</v>
      </c>
      <c r="K40" s="575" t="s">
        <v>655</v>
      </c>
      <c r="L40" s="558">
        <v>80</v>
      </c>
      <c r="M40" s="528">
        <f t="shared" si="23"/>
        <v>85.600000000000009</v>
      </c>
      <c r="N40" s="526">
        <f t="shared" si="24"/>
        <v>170.39999999999998</v>
      </c>
      <c r="O40" s="566">
        <f t="shared" si="25"/>
        <v>30.4</v>
      </c>
      <c r="P40" s="554"/>
    </row>
    <row r="41" spans="1:21" x14ac:dyDescent="0.25">
      <c r="A41" s="1590"/>
      <c r="B41" s="1246">
        <v>4</v>
      </c>
      <c r="C41" s="575" t="s">
        <v>137</v>
      </c>
      <c r="D41" s="558">
        <v>500</v>
      </c>
      <c r="E41" s="528">
        <f t="shared" si="20"/>
        <v>70</v>
      </c>
      <c r="F41" s="526">
        <f t="shared" si="21"/>
        <v>300</v>
      </c>
      <c r="G41" s="541">
        <f t="shared" si="22"/>
        <v>20</v>
      </c>
      <c r="H41" s="554"/>
      <c r="I41" s="541"/>
      <c r="J41" s="1246">
        <v>4</v>
      </c>
      <c r="K41" s="575" t="s">
        <v>137</v>
      </c>
      <c r="L41" s="558">
        <v>500</v>
      </c>
      <c r="M41" s="528">
        <f t="shared" si="23"/>
        <v>70</v>
      </c>
      <c r="N41" s="526">
        <f t="shared" si="24"/>
        <v>300</v>
      </c>
      <c r="O41" s="566">
        <f t="shared" si="25"/>
        <v>20</v>
      </c>
      <c r="P41" s="554"/>
    </row>
    <row r="42" spans="1:21" x14ac:dyDescent="0.25">
      <c r="A42" s="1590"/>
      <c r="B42" s="1246">
        <v>5</v>
      </c>
      <c r="C42" s="575" t="s">
        <v>661</v>
      </c>
      <c r="D42" s="558">
        <v>80</v>
      </c>
      <c r="E42" s="528">
        <f t="shared" si="20"/>
        <v>64</v>
      </c>
      <c r="F42" s="526">
        <f t="shared" si="21"/>
        <v>48</v>
      </c>
      <c r="G42" s="541">
        <f t="shared" si="22"/>
        <v>16</v>
      </c>
      <c r="H42" s="554"/>
      <c r="I42" s="541"/>
      <c r="J42" s="1246">
        <v>5</v>
      </c>
      <c r="K42" s="575" t="s">
        <v>661</v>
      </c>
      <c r="L42" s="558">
        <v>85</v>
      </c>
      <c r="M42" s="528">
        <f t="shared" si="23"/>
        <v>68</v>
      </c>
      <c r="N42" s="526">
        <f t="shared" si="24"/>
        <v>51</v>
      </c>
      <c r="O42" s="566">
        <f t="shared" si="25"/>
        <v>17</v>
      </c>
      <c r="P42" s="554"/>
    </row>
    <row r="43" spans="1:21" x14ac:dyDescent="0.25">
      <c r="A43" s="1590"/>
      <c r="B43" s="1246">
        <v>6</v>
      </c>
      <c r="C43" s="575" t="s">
        <v>657</v>
      </c>
      <c r="D43" s="558">
        <v>70</v>
      </c>
      <c r="E43" s="529">
        <f t="shared" si="20"/>
        <v>79.099999999999994</v>
      </c>
      <c r="F43" s="527">
        <f t="shared" si="21"/>
        <v>172.9</v>
      </c>
      <c r="G43" s="564">
        <f t="shared" si="22"/>
        <v>29.4</v>
      </c>
      <c r="H43" s="554"/>
      <c r="I43" s="541"/>
      <c r="J43" s="1246">
        <v>6</v>
      </c>
      <c r="K43" s="575" t="s">
        <v>656</v>
      </c>
      <c r="L43" s="558">
        <v>75</v>
      </c>
      <c r="M43" s="529">
        <f t="shared" si="23"/>
        <v>75.75</v>
      </c>
      <c r="N43" s="527">
        <f t="shared" si="24"/>
        <v>134.25</v>
      </c>
      <c r="O43" s="565">
        <f t="shared" si="25"/>
        <v>25.500000000000004</v>
      </c>
      <c r="P43" s="554"/>
    </row>
    <row r="44" spans="1:21" x14ac:dyDescent="0.25">
      <c r="A44" s="1590"/>
      <c r="B44" s="559"/>
      <c r="D44" s="146" t="s">
        <v>638</v>
      </c>
      <c r="E44" s="576">
        <f>SUM(E38:E43)</f>
        <v>391.79999999999995</v>
      </c>
      <c r="F44" s="577">
        <f t="shared" ref="F44:G44" si="26">SUM(F38:F43)</f>
        <v>750.19999999999993</v>
      </c>
      <c r="G44" s="542">
        <f t="shared" si="26"/>
        <v>113.19999999999999</v>
      </c>
      <c r="H44" s="554"/>
      <c r="I44" s="542"/>
      <c r="J44" s="559"/>
      <c r="L44" s="146" t="s">
        <v>638</v>
      </c>
      <c r="M44" s="576">
        <f>SUM(M38:M43)</f>
        <v>431.35</v>
      </c>
      <c r="N44" s="577">
        <f t="shared" ref="N44" si="27">SUM(N38:N43)</f>
        <v>779.65</v>
      </c>
      <c r="O44" s="542">
        <f t="shared" ref="O44" si="28">SUM(O38:O43)</f>
        <v>120.9</v>
      </c>
      <c r="P44" s="554"/>
    </row>
    <row r="45" spans="1:21" ht="30" x14ac:dyDescent="0.25">
      <c r="A45" s="1590"/>
      <c r="B45" s="559"/>
      <c r="D45" s="537" t="s">
        <v>639</v>
      </c>
      <c r="E45" s="568" t="s">
        <v>640</v>
      </c>
      <c r="F45" s="569" t="s">
        <v>2</v>
      </c>
      <c r="G45" s="570" t="s">
        <v>471</v>
      </c>
      <c r="H45" s="556"/>
      <c r="I45" s="542"/>
      <c r="J45" s="559"/>
      <c r="L45" s="537" t="s">
        <v>639</v>
      </c>
      <c r="M45" s="547" t="s">
        <v>640</v>
      </c>
      <c r="N45" s="548" t="s">
        <v>2</v>
      </c>
      <c r="O45" s="553" t="s">
        <v>471</v>
      </c>
      <c r="P45" s="556"/>
    </row>
    <row r="46" spans="1:21" ht="24" customHeight="1" x14ac:dyDescent="0.25">
      <c r="A46" s="1590"/>
      <c r="B46" s="560"/>
      <c r="C46" s="521" t="s">
        <v>644</v>
      </c>
      <c r="D46" s="561" t="s">
        <v>328</v>
      </c>
      <c r="E46" s="538">
        <f>IF(E45="E",0,IF(E45="D",E44*0.5,IF(E45="C",E44,IF(E45="B",E44*1.5,IF(E45="A",E44*2)))))</f>
        <v>195.89999999999998</v>
      </c>
      <c r="F46" s="539">
        <f t="shared" ref="F46" si="29">IF(F45="E",0,IF(F45="D",F44*0.5,IF(F45="C",F44,IF(F45="B",F44*1.5,IF(F45="A",F44*2)))))</f>
        <v>750.19999999999993</v>
      </c>
      <c r="G46" s="545">
        <f t="shared" ref="G46" si="30">IF(G45="E",0,IF(G45="D",G44*0.5,IF(G45="C",G44,IF(G45="B",G44*1.5,IF(G45="A",G44*2)))))</f>
        <v>169.79999999999998</v>
      </c>
      <c r="H46" s="552"/>
      <c r="I46" s="543"/>
      <c r="J46" s="560"/>
      <c r="K46" s="521" t="s">
        <v>644</v>
      </c>
      <c r="L46" s="561" t="s">
        <v>328</v>
      </c>
      <c r="M46" s="538">
        <f>IF(M45="E",0,IF(M45="D",M44*0.5,IF(M45="C",M44,IF(M45="B",M44*1.5,IF(M45="A",M44*2)))))</f>
        <v>215.67500000000001</v>
      </c>
      <c r="N46" s="539">
        <f t="shared" ref="N46" si="31">IF(N45="E",0,IF(N45="D",N44*0.5,IF(N45="C",N44,IF(N45="B",N44*1.5,IF(N45="A",N44*2)))))</f>
        <v>779.65</v>
      </c>
      <c r="O46" s="540">
        <f t="shared" ref="O46" si="32">IF(O45="E",0,IF(O45="D",O44*0.5,IF(O45="C",O44,IF(O45="B",O44*1.5,IF(O45="A",O44*2)))))</f>
        <v>181.35000000000002</v>
      </c>
      <c r="P46" s="552"/>
    </row>
    <row r="50" spans="4:4" ht="18.75" x14ac:dyDescent="0.25">
      <c r="D50" s="181"/>
    </row>
  </sheetData>
  <sheetProtection sheet="1" formatCells="0" formatColumns="0" formatRows="0" selectLockedCells="1"/>
  <mergeCells count="14">
    <mergeCell ref="A1:A46"/>
    <mergeCell ref="S4:U4"/>
    <mergeCell ref="E3:G3"/>
    <mergeCell ref="E13:G13"/>
    <mergeCell ref="E24:G24"/>
    <mergeCell ref="R3:U3"/>
    <mergeCell ref="C2:G2"/>
    <mergeCell ref="K2:O2"/>
    <mergeCell ref="E36:G36"/>
    <mergeCell ref="M36:O36"/>
    <mergeCell ref="M3:O3"/>
    <mergeCell ref="M13:O13"/>
    <mergeCell ref="M24:O24"/>
    <mergeCell ref="B1:O1"/>
  </mergeCells>
  <conditionalFormatting sqref="E9">
    <cfRule type="containsText" dxfId="1" priority="17" operator="containsText" text="A;E">
      <formula>NOT(ISERROR(SEARCH("A;E",E9)))</formula>
    </cfRule>
    <cfRule type="colorScale" priority="18">
      <colorScale>
        <cfvo type="formula" val="&quot;A&quot;"/>
        <cfvo type="formula" val="&quot;C&quot;"/>
        <cfvo type="formula" val="&quot;E&quot;"/>
        <color theme="5" tint="0.59999389629810485"/>
        <color rgb="FFFFEB84"/>
        <color theme="4" tint="0.39997558519241921"/>
      </colorScale>
    </cfRule>
    <cfRule type="colorScale" priority="19">
      <colorScale>
        <cfvo type="min"/>
        <cfvo type="percentile" val="50"/>
        <cfvo type="max"/>
        <color rgb="FFF8696B"/>
        <color rgb="FFFFEB84"/>
        <color rgb="FF63BE7B"/>
      </colorScale>
    </cfRule>
    <cfRule type="colorScale" priority="20">
      <colorScale>
        <cfvo type="min"/>
        <cfvo type="percentile" val="50"/>
        <cfvo type="max"/>
        <color rgb="FFF8696B"/>
        <color rgb="FFFFEB84"/>
        <color rgb="FF63BE7B"/>
      </colorScale>
    </cfRule>
  </conditionalFormatting>
  <conditionalFormatting sqref="M9">
    <cfRule type="containsText" dxfId="0" priority="1" operator="containsText" text="A;E">
      <formula>NOT(ISERROR(SEARCH("A;E",M9)))</formula>
    </cfRule>
    <cfRule type="colorScale" priority="2">
      <colorScale>
        <cfvo type="formula" val="&quot;A&quot;"/>
        <cfvo type="formula" val="&quot;C&quot;"/>
        <cfvo type="formula" val="&quot;E&quot;"/>
        <color theme="5" tint="0.59999389629810485"/>
        <color rgb="FFFFEB84"/>
        <color theme="4" tint="0.39997558519241921"/>
      </colorScale>
    </cfRule>
    <cfRule type="colorScale" priority="3">
      <colorScale>
        <cfvo type="min"/>
        <cfvo type="percentile" val="50"/>
        <cfvo type="max"/>
        <color rgb="FFF8696B"/>
        <color rgb="FFFFEB84"/>
        <color rgb="FF63BE7B"/>
      </colorScale>
    </cfRule>
    <cfRule type="colorScale" priority="4">
      <colorScale>
        <cfvo type="min"/>
        <cfvo type="percentile" val="50"/>
        <cfvo type="max"/>
        <color rgb="FFF8696B"/>
        <color rgb="FFFFEB84"/>
        <color rgb="FF63BE7B"/>
      </colorScale>
    </cfRule>
  </conditionalFormatting>
  <dataValidations count="2">
    <dataValidation type="list" allowBlank="1" showInputMessage="1" showErrorMessage="1" sqref="E20:G20 E9:G9 E45:G45 E32:G32 M20:O20 M32:O32 M45:O45 M9:O9" xr:uid="{00000000-0002-0000-1000-000000000000}">
      <formula1>"A,B,C,D,E"</formula1>
    </dataValidation>
    <dataValidation type="list" allowBlank="1" sqref="C5:C7 C15:C18 C26:C30 C38:C43 K5:K7 K15:K18 K26:K30 K38:K43" xr:uid="{00000000-0002-0000-1000-000001000000}">
      <formula1>$R$6:$R$38</formula1>
    </dataValidation>
  </dataValidations>
  <pageMargins left="0.7" right="0.7" top="0.78740157499999996" bottom="0.78740157499999996" header="0.3" footer="0.3"/>
  <pageSetup paperSize="9" scale="71" fitToWidth="0" orientation="portrait" horizontalDpi="4294967293" verticalDpi="4294967293" r:id="rId1"/>
  <colBreaks count="2" manualBreakCount="2">
    <brk id="8" max="1048575" man="1"/>
    <brk id="16"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3">
    <tabColor theme="5" tint="0.39997558519241921"/>
  </sheetPr>
  <dimension ref="A1:Q46"/>
  <sheetViews>
    <sheetView zoomScaleNormal="100" workbookViewId="0">
      <selection activeCell="C5" sqref="C5"/>
    </sheetView>
  </sheetViews>
  <sheetFormatPr baseColWidth="10" defaultRowHeight="15" x14ac:dyDescent="0.25"/>
  <cols>
    <col min="1" max="1" width="45.7109375" style="400" customWidth="1"/>
    <col min="2" max="2" width="6" style="400" customWidth="1"/>
    <col min="3" max="3" width="46.28515625" style="400" customWidth="1"/>
    <col min="4" max="4" width="13.28515625" style="400" customWidth="1"/>
    <col min="5" max="5" width="11.28515625" style="400" customWidth="1"/>
    <col min="6" max="6" width="12.42578125" style="520" customWidth="1"/>
    <col min="7" max="7" width="12.42578125" style="524" customWidth="1"/>
    <col min="8" max="8" width="10.5703125" style="400" customWidth="1"/>
    <col min="9" max="9" width="13" style="400" customWidth="1"/>
    <col min="10" max="10" width="10.42578125" style="400" customWidth="1"/>
    <col min="11" max="12" width="13" style="400" customWidth="1"/>
    <col min="13" max="13" width="10.140625" style="400" customWidth="1"/>
    <col min="14" max="15" width="13" style="400" customWidth="1"/>
    <col min="16" max="16" width="10.28515625" style="400" customWidth="1"/>
    <col min="17" max="17" width="13" style="400" customWidth="1"/>
    <col min="18" max="16384" width="11.42578125" style="400"/>
  </cols>
  <sheetData>
    <row r="1" spans="1:17" ht="45" customHeight="1" x14ac:dyDescent="0.25">
      <c r="A1" s="1591" t="s">
        <v>1298</v>
      </c>
      <c r="B1" s="867"/>
      <c r="C1" s="1506" t="s">
        <v>1181</v>
      </c>
      <c r="D1" s="1590"/>
      <c r="E1" s="1590"/>
      <c r="F1" s="1590"/>
      <c r="G1" s="1590"/>
      <c r="H1" s="1590"/>
      <c r="I1" s="1590"/>
      <c r="J1" s="1293"/>
      <c r="K1" s="1293"/>
      <c r="L1" s="1293"/>
      <c r="M1" s="1293"/>
      <c r="N1" s="1293"/>
      <c r="O1" s="1293"/>
      <c r="P1" s="1293"/>
      <c r="Q1" s="1293"/>
    </row>
    <row r="2" spans="1:17" ht="28.5" customHeight="1" x14ac:dyDescent="0.25">
      <c r="A2" s="1335"/>
      <c r="B2" s="764"/>
    </row>
    <row r="3" spans="1:17" ht="25.5" customHeight="1" x14ac:dyDescent="0.25">
      <c r="A3" s="1335"/>
      <c r="B3" s="764"/>
      <c r="C3" s="1423" t="s">
        <v>1174</v>
      </c>
      <c r="D3" s="1593" t="s">
        <v>1182</v>
      </c>
      <c r="E3" s="1593"/>
      <c r="F3" s="1386"/>
      <c r="G3" s="1594" t="s">
        <v>1173</v>
      </c>
      <c r="H3" s="1594" t="s">
        <v>307</v>
      </c>
      <c r="I3" s="1595" t="s">
        <v>1180</v>
      </c>
      <c r="J3" s="1595"/>
      <c r="K3" s="1595"/>
      <c r="L3" s="1592" t="s">
        <v>1179</v>
      </c>
      <c r="M3" s="1592"/>
      <c r="N3" s="1592"/>
      <c r="O3" s="1423" t="s">
        <v>1178</v>
      </c>
      <c r="P3" s="1423"/>
      <c r="Q3" s="1423"/>
    </row>
    <row r="4" spans="1:17" ht="52.5" customHeight="1" x14ac:dyDescent="0.25">
      <c r="A4" s="1335"/>
      <c r="B4" s="764"/>
      <c r="C4" s="1423"/>
      <c r="D4" s="312" t="s">
        <v>300</v>
      </c>
      <c r="E4" s="312" t="s">
        <v>351</v>
      </c>
      <c r="F4" s="312" t="s">
        <v>352</v>
      </c>
      <c r="G4" s="1594"/>
      <c r="H4" s="1594"/>
      <c r="I4" s="868" t="s">
        <v>1175</v>
      </c>
      <c r="J4" s="312" t="s">
        <v>1176</v>
      </c>
      <c r="K4" s="866" t="s">
        <v>1177</v>
      </c>
      <c r="L4" s="868" t="s">
        <v>1175</v>
      </c>
      <c r="M4" s="312" t="s">
        <v>1176</v>
      </c>
      <c r="N4" s="872" t="s">
        <v>1177</v>
      </c>
      <c r="O4" s="868" t="s">
        <v>1175</v>
      </c>
      <c r="P4" s="312" t="s">
        <v>1176</v>
      </c>
      <c r="Q4" s="312" t="s">
        <v>1177</v>
      </c>
    </row>
    <row r="5" spans="1:17" ht="22.5" customHeight="1" x14ac:dyDescent="0.25">
      <c r="A5" s="1335"/>
      <c r="B5" s="764"/>
      <c r="C5" s="869" t="s">
        <v>213</v>
      </c>
      <c r="D5" s="762">
        <f>100-E5-F5</f>
        <v>0</v>
      </c>
      <c r="E5" s="1249">
        <v>100</v>
      </c>
      <c r="F5" s="1249">
        <v>0</v>
      </c>
      <c r="G5" s="1250">
        <v>100</v>
      </c>
      <c r="H5" s="1250">
        <v>16</v>
      </c>
      <c r="I5" s="853">
        <f>G5*(D5/100+E5*0.5/100+F5*0.75/100)*(0.25+0.43*H5/6.25-0.06*H5/6.25*H5/6.25)</f>
        <v>47.879199999999997</v>
      </c>
      <c r="J5" s="870" t="s">
        <v>2</v>
      </c>
      <c r="K5" s="874">
        <f>IF(J5="E",0,IF(J5="D",I5*0.5,IF(J5="C",I5,IF(J5="B",I5*1.5,IF(J5="A",I5*2)))))</f>
        <v>47.879199999999997</v>
      </c>
      <c r="L5" s="853">
        <f>G5*(D5/100+E5*0.5/100+F5*0.75/100)*H5/6</f>
        <v>133.33333333333334</v>
      </c>
      <c r="M5" s="870" t="s">
        <v>2</v>
      </c>
      <c r="N5" s="873">
        <f>IF(M5="E",0,IF(M5="D",L5*0.5,IF(M5="C",L5,IF(M5="B",L5*1.5,IF(M5="A",L5*2)))))</f>
        <v>133.33333333333334</v>
      </c>
      <c r="O5" s="853">
        <f>L5/6</f>
        <v>22.222222222222225</v>
      </c>
      <c r="P5" s="870" t="s">
        <v>2</v>
      </c>
      <c r="Q5" s="871">
        <f>IF(P5="E",0,IF(P5="D",O5*0.5,IF(P5="C",O5,IF(P5="B",O5*1.5,IF(P5="A",O5*2)))))</f>
        <v>22.222222222222225</v>
      </c>
    </row>
    <row r="6" spans="1:17" ht="22.5" customHeight="1" x14ac:dyDescent="0.25">
      <c r="A6" s="1335"/>
      <c r="B6" s="764"/>
      <c r="C6" s="869" t="s">
        <v>723</v>
      </c>
      <c r="D6" s="762">
        <f t="shared" ref="D6:D7" si="0">100-E6-F6</f>
        <v>0</v>
      </c>
      <c r="E6" s="1249">
        <v>0</v>
      </c>
      <c r="F6" s="1249">
        <v>100</v>
      </c>
      <c r="G6" s="1250">
        <v>100</v>
      </c>
      <c r="H6" s="1250">
        <v>16</v>
      </c>
      <c r="I6" s="853">
        <f t="shared" ref="I6:I7" si="1">G6*(D6/100+E6*0.5/100+F6*0.75/100)*(0.25+0.43*H6/6.25-0.06*H6/6.25*H6/6.25)</f>
        <v>71.818799999999996</v>
      </c>
      <c r="J6" s="870" t="s">
        <v>2</v>
      </c>
      <c r="K6" s="874">
        <f t="shared" ref="K6:K21" si="2">IF(J6="E",0,IF(J6="D",I6*0.5,IF(J6="C",I6,IF(J6="B",I6*1.5,IF(J6="A",I6*2)))))</f>
        <v>71.818799999999996</v>
      </c>
      <c r="L6" s="853">
        <f t="shared" ref="L6:L21" si="3">G6*(D6/100+E6*0.5/100+F6*0.75/100)*H6/6</f>
        <v>200</v>
      </c>
      <c r="M6" s="870" t="s">
        <v>2</v>
      </c>
      <c r="N6" s="873">
        <f t="shared" ref="N6:N21" si="4">IF(M6="E",0,IF(M6="D",L6*0.5,IF(M6="C",L6,IF(M6="B",L6*1.5,IF(M6="A",L6*2)))))</f>
        <v>200</v>
      </c>
      <c r="O6" s="853">
        <f t="shared" ref="O6:O21" si="5">L6/6</f>
        <v>33.333333333333336</v>
      </c>
      <c r="P6" s="870" t="s">
        <v>2</v>
      </c>
      <c r="Q6" s="871">
        <f t="shared" ref="Q6:Q21" si="6">IF(P6="E",0,IF(P6="D",O6*0.5,IF(P6="C",O6,IF(P6="B",O6*1.5,IF(P6="A",O6*2)))))</f>
        <v>33.333333333333336</v>
      </c>
    </row>
    <row r="7" spans="1:17" ht="22.5" customHeight="1" x14ac:dyDescent="0.25">
      <c r="A7" s="1335"/>
      <c r="B7" s="764"/>
      <c r="C7" s="869" t="s">
        <v>1153</v>
      </c>
      <c r="D7" s="762">
        <f t="shared" si="0"/>
        <v>75</v>
      </c>
      <c r="E7" s="1249">
        <v>0</v>
      </c>
      <c r="F7" s="1249">
        <v>25</v>
      </c>
      <c r="G7" s="1250">
        <v>100</v>
      </c>
      <c r="H7" s="1250">
        <v>16</v>
      </c>
      <c r="I7" s="853">
        <f t="shared" si="1"/>
        <v>89.773499999999999</v>
      </c>
      <c r="J7" s="870" t="s">
        <v>2</v>
      </c>
      <c r="K7" s="874">
        <f t="shared" si="2"/>
        <v>89.773499999999999</v>
      </c>
      <c r="L7" s="853">
        <f t="shared" si="3"/>
        <v>250</v>
      </c>
      <c r="M7" s="870" t="s">
        <v>2</v>
      </c>
      <c r="N7" s="873">
        <f t="shared" si="4"/>
        <v>250</v>
      </c>
      <c r="O7" s="853">
        <f t="shared" si="5"/>
        <v>41.666666666666664</v>
      </c>
      <c r="P7" s="870" t="s">
        <v>2</v>
      </c>
      <c r="Q7" s="871">
        <f t="shared" si="6"/>
        <v>41.666666666666664</v>
      </c>
    </row>
    <row r="8" spans="1:17" ht="22.5" customHeight="1" x14ac:dyDescent="0.25">
      <c r="A8" s="1335"/>
      <c r="B8" s="764"/>
      <c r="C8" s="869" t="s">
        <v>724</v>
      </c>
      <c r="D8" s="762">
        <f t="shared" ref="D8:D11" si="7">100-E8-F8</f>
        <v>100</v>
      </c>
      <c r="E8" s="1249">
        <v>0</v>
      </c>
      <c r="F8" s="1249">
        <v>0</v>
      </c>
      <c r="G8" s="1250">
        <v>100</v>
      </c>
      <c r="H8" s="1250">
        <v>16</v>
      </c>
      <c r="I8" s="853">
        <f t="shared" ref="I8:I11" si="8">G8*(D8/100+E8*0.5/100+F8*0.75/100)*(0.25+0.43*H8/6.25-0.06*H8/6.25*H8/6.25)</f>
        <v>95.758399999999995</v>
      </c>
      <c r="J8" s="870" t="s">
        <v>2</v>
      </c>
      <c r="K8" s="874">
        <f t="shared" si="2"/>
        <v>95.758399999999995</v>
      </c>
      <c r="L8" s="853">
        <f t="shared" si="3"/>
        <v>266.66666666666669</v>
      </c>
      <c r="M8" s="870" t="s">
        <v>2</v>
      </c>
      <c r="N8" s="873">
        <f t="shared" si="4"/>
        <v>266.66666666666669</v>
      </c>
      <c r="O8" s="853">
        <f t="shared" si="5"/>
        <v>44.44444444444445</v>
      </c>
      <c r="P8" s="870" t="s">
        <v>2</v>
      </c>
      <c r="Q8" s="871">
        <f t="shared" si="6"/>
        <v>44.44444444444445</v>
      </c>
    </row>
    <row r="9" spans="1:17" ht="22.5" customHeight="1" x14ac:dyDescent="0.25">
      <c r="A9" s="1335"/>
      <c r="B9" s="764"/>
      <c r="C9" s="869"/>
      <c r="D9" s="762">
        <f t="shared" si="7"/>
        <v>100</v>
      </c>
      <c r="E9" s="1249">
        <v>0</v>
      </c>
      <c r="F9" s="1249">
        <v>0</v>
      </c>
      <c r="G9" s="1250">
        <v>0</v>
      </c>
      <c r="H9" s="1250">
        <v>0</v>
      </c>
      <c r="I9" s="853">
        <f t="shared" si="8"/>
        <v>0</v>
      </c>
      <c r="J9" s="870" t="s">
        <v>470</v>
      </c>
      <c r="K9" s="874">
        <f t="shared" si="2"/>
        <v>0</v>
      </c>
      <c r="L9" s="853">
        <f t="shared" si="3"/>
        <v>0</v>
      </c>
      <c r="M9" s="870" t="s">
        <v>470</v>
      </c>
      <c r="N9" s="873">
        <f t="shared" si="4"/>
        <v>0</v>
      </c>
      <c r="O9" s="853">
        <f t="shared" si="5"/>
        <v>0</v>
      </c>
      <c r="P9" s="870" t="s">
        <v>470</v>
      </c>
      <c r="Q9" s="871">
        <f t="shared" si="6"/>
        <v>0</v>
      </c>
    </row>
    <row r="10" spans="1:17" ht="22.5" customHeight="1" x14ac:dyDescent="0.25">
      <c r="A10" s="1335"/>
      <c r="B10" s="764"/>
      <c r="C10" s="869"/>
      <c r="D10" s="762">
        <f t="shared" si="7"/>
        <v>100</v>
      </c>
      <c r="E10" s="1249">
        <v>0</v>
      </c>
      <c r="F10" s="1249">
        <v>0</v>
      </c>
      <c r="G10" s="1250">
        <v>0</v>
      </c>
      <c r="H10" s="1250">
        <v>0</v>
      </c>
      <c r="I10" s="853">
        <f t="shared" si="8"/>
        <v>0</v>
      </c>
      <c r="J10" s="870" t="s">
        <v>471</v>
      </c>
      <c r="K10" s="874">
        <f t="shared" si="2"/>
        <v>0</v>
      </c>
      <c r="L10" s="853">
        <f t="shared" si="3"/>
        <v>0</v>
      </c>
      <c r="M10" s="870" t="s">
        <v>471</v>
      </c>
      <c r="N10" s="873">
        <f t="shared" si="4"/>
        <v>0</v>
      </c>
      <c r="O10" s="853">
        <f t="shared" si="5"/>
        <v>0</v>
      </c>
      <c r="P10" s="870" t="s">
        <v>471</v>
      </c>
      <c r="Q10" s="871">
        <f t="shared" si="6"/>
        <v>0</v>
      </c>
    </row>
    <row r="11" spans="1:17" ht="22.5" customHeight="1" x14ac:dyDescent="0.25">
      <c r="A11" s="1335"/>
      <c r="B11" s="764"/>
      <c r="C11" s="869"/>
      <c r="D11" s="762">
        <f t="shared" si="7"/>
        <v>100</v>
      </c>
      <c r="E11" s="1249">
        <v>0</v>
      </c>
      <c r="F11" s="1249">
        <v>0</v>
      </c>
      <c r="G11" s="1250">
        <v>0</v>
      </c>
      <c r="H11" s="1250">
        <v>0</v>
      </c>
      <c r="I11" s="853">
        <f t="shared" si="8"/>
        <v>0</v>
      </c>
      <c r="J11" s="870" t="s">
        <v>2</v>
      </c>
      <c r="K11" s="874">
        <f t="shared" si="2"/>
        <v>0</v>
      </c>
      <c r="L11" s="853">
        <f t="shared" si="3"/>
        <v>0</v>
      </c>
      <c r="M11" s="870" t="s">
        <v>2</v>
      </c>
      <c r="N11" s="873">
        <f t="shared" si="4"/>
        <v>0</v>
      </c>
      <c r="O11" s="853">
        <f t="shared" si="5"/>
        <v>0</v>
      </c>
      <c r="P11" s="1248" t="s">
        <v>2</v>
      </c>
      <c r="Q11" s="871">
        <f t="shared" si="6"/>
        <v>0</v>
      </c>
    </row>
    <row r="12" spans="1:17" ht="22.5" customHeight="1" x14ac:dyDescent="0.25">
      <c r="A12" s="1335"/>
      <c r="B12" s="764"/>
      <c r="C12" s="869"/>
      <c r="D12" s="762">
        <f t="shared" ref="D12:D21" si="9">100-E12-F12</f>
        <v>100</v>
      </c>
      <c r="E12" s="1249">
        <v>0</v>
      </c>
      <c r="F12" s="1249">
        <v>0</v>
      </c>
      <c r="G12" s="1250">
        <v>0</v>
      </c>
      <c r="H12" s="1250">
        <v>0</v>
      </c>
      <c r="I12" s="853">
        <f t="shared" ref="I12:I21" si="10">G12*(D12/100+E12*0.5/100+F12*0.75/100)*(0.25+0.43*H12/6.25-0.06*H12/6.25*H12/6.25)</f>
        <v>0</v>
      </c>
      <c r="J12" s="870" t="s">
        <v>640</v>
      </c>
      <c r="K12" s="874">
        <f t="shared" si="2"/>
        <v>0</v>
      </c>
      <c r="L12" s="853">
        <f t="shared" si="3"/>
        <v>0</v>
      </c>
      <c r="M12" s="870" t="s">
        <v>640</v>
      </c>
      <c r="N12" s="873">
        <f t="shared" si="4"/>
        <v>0</v>
      </c>
      <c r="O12" s="853">
        <f t="shared" si="5"/>
        <v>0</v>
      </c>
      <c r="P12" s="870" t="s">
        <v>640</v>
      </c>
      <c r="Q12" s="871">
        <f t="shared" si="6"/>
        <v>0</v>
      </c>
    </row>
    <row r="13" spans="1:17" ht="22.5" customHeight="1" x14ac:dyDescent="0.25">
      <c r="A13" s="1335"/>
      <c r="B13" s="764"/>
      <c r="C13" s="869"/>
      <c r="D13" s="762">
        <f t="shared" si="9"/>
        <v>100</v>
      </c>
      <c r="E13" s="1249">
        <v>0</v>
      </c>
      <c r="F13" s="1249">
        <v>0</v>
      </c>
      <c r="G13" s="1250">
        <v>0</v>
      </c>
      <c r="H13" s="1250">
        <v>0</v>
      </c>
      <c r="I13" s="853">
        <f t="shared" si="10"/>
        <v>0</v>
      </c>
      <c r="J13" s="870" t="s">
        <v>3</v>
      </c>
      <c r="K13" s="874">
        <f t="shared" si="2"/>
        <v>0</v>
      </c>
      <c r="L13" s="853">
        <f t="shared" si="3"/>
        <v>0</v>
      </c>
      <c r="M13" s="870" t="s">
        <v>3</v>
      </c>
      <c r="N13" s="873">
        <f t="shared" si="4"/>
        <v>0</v>
      </c>
      <c r="O13" s="853">
        <f t="shared" si="5"/>
        <v>0</v>
      </c>
      <c r="P13" s="870" t="s">
        <v>3</v>
      </c>
      <c r="Q13" s="871">
        <f t="shared" si="6"/>
        <v>0</v>
      </c>
    </row>
    <row r="14" spans="1:17" ht="22.5" customHeight="1" x14ac:dyDescent="0.25">
      <c r="A14" s="1335"/>
      <c r="B14" s="764"/>
      <c r="C14" s="869"/>
      <c r="D14" s="762">
        <f t="shared" si="9"/>
        <v>100</v>
      </c>
      <c r="E14" s="1249">
        <v>0</v>
      </c>
      <c r="F14" s="1249">
        <v>0</v>
      </c>
      <c r="G14" s="1250">
        <v>0</v>
      </c>
      <c r="H14" s="1250">
        <v>0</v>
      </c>
      <c r="I14" s="853">
        <f t="shared" si="10"/>
        <v>0</v>
      </c>
      <c r="J14" s="870" t="s">
        <v>2</v>
      </c>
      <c r="K14" s="874">
        <f t="shared" si="2"/>
        <v>0</v>
      </c>
      <c r="L14" s="853">
        <f t="shared" si="3"/>
        <v>0</v>
      </c>
      <c r="M14" s="870" t="s">
        <v>2</v>
      </c>
      <c r="N14" s="873">
        <f t="shared" si="4"/>
        <v>0</v>
      </c>
      <c r="O14" s="853">
        <f t="shared" si="5"/>
        <v>0</v>
      </c>
      <c r="P14" s="870" t="s">
        <v>2</v>
      </c>
      <c r="Q14" s="871">
        <f t="shared" si="6"/>
        <v>0</v>
      </c>
    </row>
    <row r="15" spans="1:17" ht="22.5" customHeight="1" x14ac:dyDescent="0.25">
      <c r="A15" s="1335"/>
      <c r="B15" s="764"/>
      <c r="C15" s="869"/>
      <c r="D15" s="762">
        <f t="shared" si="9"/>
        <v>100</v>
      </c>
      <c r="E15" s="1249">
        <v>0</v>
      </c>
      <c r="F15" s="1249">
        <v>0</v>
      </c>
      <c r="G15" s="1250">
        <v>0</v>
      </c>
      <c r="H15" s="1250">
        <v>0</v>
      </c>
      <c r="I15" s="853">
        <f t="shared" si="10"/>
        <v>0</v>
      </c>
      <c r="J15" s="870" t="s">
        <v>2</v>
      </c>
      <c r="K15" s="874">
        <f t="shared" si="2"/>
        <v>0</v>
      </c>
      <c r="L15" s="853">
        <f t="shared" si="3"/>
        <v>0</v>
      </c>
      <c r="M15" s="870" t="s">
        <v>2</v>
      </c>
      <c r="N15" s="873">
        <f t="shared" si="4"/>
        <v>0</v>
      </c>
      <c r="O15" s="853">
        <f t="shared" si="5"/>
        <v>0</v>
      </c>
      <c r="P15" s="870" t="s">
        <v>2</v>
      </c>
      <c r="Q15" s="871">
        <f t="shared" si="6"/>
        <v>0</v>
      </c>
    </row>
    <row r="16" spans="1:17" ht="22.5" customHeight="1" x14ac:dyDescent="0.25">
      <c r="A16" s="1335"/>
      <c r="B16" s="764"/>
      <c r="C16" s="869"/>
      <c r="D16" s="762">
        <f t="shared" si="9"/>
        <v>100</v>
      </c>
      <c r="E16" s="1249">
        <v>0</v>
      </c>
      <c r="F16" s="1249">
        <v>0</v>
      </c>
      <c r="G16" s="1250">
        <v>0</v>
      </c>
      <c r="H16" s="1250">
        <v>0</v>
      </c>
      <c r="I16" s="853">
        <f t="shared" si="10"/>
        <v>0</v>
      </c>
      <c r="J16" s="870" t="s">
        <v>2</v>
      </c>
      <c r="K16" s="874">
        <f t="shared" si="2"/>
        <v>0</v>
      </c>
      <c r="L16" s="853">
        <f t="shared" si="3"/>
        <v>0</v>
      </c>
      <c r="M16" s="870" t="s">
        <v>2</v>
      </c>
      <c r="N16" s="873">
        <f t="shared" si="4"/>
        <v>0</v>
      </c>
      <c r="O16" s="853">
        <f t="shared" si="5"/>
        <v>0</v>
      </c>
      <c r="P16" s="870" t="s">
        <v>2</v>
      </c>
      <c r="Q16" s="871">
        <f t="shared" si="6"/>
        <v>0</v>
      </c>
    </row>
    <row r="17" spans="1:17" ht="22.5" customHeight="1" x14ac:dyDescent="0.25">
      <c r="A17" s="1335"/>
      <c r="B17" s="764"/>
      <c r="C17" s="869"/>
      <c r="D17" s="762">
        <f t="shared" si="9"/>
        <v>100</v>
      </c>
      <c r="E17" s="1249">
        <v>0</v>
      </c>
      <c r="F17" s="1249">
        <v>0</v>
      </c>
      <c r="G17" s="1250">
        <v>0</v>
      </c>
      <c r="H17" s="1250">
        <v>0</v>
      </c>
      <c r="I17" s="853">
        <f t="shared" si="10"/>
        <v>0</v>
      </c>
      <c r="J17" s="870" t="s">
        <v>2</v>
      </c>
      <c r="K17" s="874">
        <f t="shared" si="2"/>
        <v>0</v>
      </c>
      <c r="L17" s="853">
        <f t="shared" si="3"/>
        <v>0</v>
      </c>
      <c r="M17" s="870" t="s">
        <v>2</v>
      </c>
      <c r="N17" s="873">
        <f t="shared" si="4"/>
        <v>0</v>
      </c>
      <c r="O17" s="853">
        <f t="shared" si="5"/>
        <v>0</v>
      </c>
      <c r="P17" s="870" t="s">
        <v>2</v>
      </c>
      <c r="Q17" s="871">
        <f t="shared" si="6"/>
        <v>0</v>
      </c>
    </row>
    <row r="18" spans="1:17" ht="22.5" customHeight="1" x14ac:dyDescent="0.25">
      <c r="A18" s="1335"/>
      <c r="B18" s="764"/>
      <c r="C18" s="869"/>
      <c r="D18" s="762">
        <f t="shared" si="9"/>
        <v>100</v>
      </c>
      <c r="E18" s="1249">
        <v>0</v>
      </c>
      <c r="F18" s="1249">
        <v>0</v>
      </c>
      <c r="G18" s="1250">
        <v>0</v>
      </c>
      <c r="H18" s="1250">
        <v>0</v>
      </c>
      <c r="I18" s="853">
        <f t="shared" si="10"/>
        <v>0</v>
      </c>
      <c r="J18" s="870" t="s">
        <v>2</v>
      </c>
      <c r="K18" s="874">
        <f t="shared" si="2"/>
        <v>0</v>
      </c>
      <c r="L18" s="853">
        <f t="shared" si="3"/>
        <v>0</v>
      </c>
      <c r="M18" s="870" t="s">
        <v>2</v>
      </c>
      <c r="N18" s="873">
        <f t="shared" si="4"/>
        <v>0</v>
      </c>
      <c r="O18" s="853">
        <f t="shared" si="5"/>
        <v>0</v>
      </c>
      <c r="P18" s="870" t="s">
        <v>2</v>
      </c>
      <c r="Q18" s="871">
        <f t="shared" si="6"/>
        <v>0</v>
      </c>
    </row>
    <row r="19" spans="1:17" ht="22.5" customHeight="1" x14ac:dyDescent="0.25">
      <c r="A19" s="1335"/>
      <c r="B19" s="764"/>
      <c r="C19" s="869"/>
      <c r="D19" s="762">
        <f t="shared" si="9"/>
        <v>100</v>
      </c>
      <c r="E19" s="1249">
        <v>0</v>
      </c>
      <c r="F19" s="1249">
        <v>0</v>
      </c>
      <c r="G19" s="1250">
        <v>0</v>
      </c>
      <c r="H19" s="1250">
        <v>0</v>
      </c>
      <c r="I19" s="853">
        <f t="shared" si="10"/>
        <v>0</v>
      </c>
      <c r="J19" s="870" t="s">
        <v>2</v>
      </c>
      <c r="K19" s="874">
        <f t="shared" si="2"/>
        <v>0</v>
      </c>
      <c r="L19" s="853">
        <f t="shared" si="3"/>
        <v>0</v>
      </c>
      <c r="M19" s="870" t="s">
        <v>2</v>
      </c>
      <c r="N19" s="873">
        <f t="shared" si="4"/>
        <v>0</v>
      </c>
      <c r="O19" s="853">
        <f t="shared" si="5"/>
        <v>0</v>
      </c>
      <c r="P19" s="870" t="s">
        <v>2</v>
      </c>
      <c r="Q19" s="871">
        <f t="shared" si="6"/>
        <v>0</v>
      </c>
    </row>
    <row r="20" spans="1:17" ht="22.5" customHeight="1" x14ac:dyDescent="0.25">
      <c r="A20" s="1335"/>
      <c r="B20" s="764"/>
      <c r="C20" s="869"/>
      <c r="D20" s="762">
        <f t="shared" si="9"/>
        <v>100</v>
      </c>
      <c r="E20" s="1249">
        <v>0</v>
      </c>
      <c r="F20" s="1249">
        <v>0</v>
      </c>
      <c r="G20" s="1250">
        <v>0</v>
      </c>
      <c r="H20" s="1250">
        <v>0</v>
      </c>
      <c r="I20" s="853">
        <f t="shared" si="10"/>
        <v>0</v>
      </c>
      <c r="J20" s="870" t="s">
        <v>2</v>
      </c>
      <c r="K20" s="874">
        <f t="shared" si="2"/>
        <v>0</v>
      </c>
      <c r="L20" s="853">
        <f t="shared" si="3"/>
        <v>0</v>
      </c>
      <c r="M20" s="870" t="s">
        <v>2</v>
      </c>
      <c r="N20" s="873">
        <f t="shared" si="4"/>
        <v>0</v>
      </c>
      <c r="O20" s="853">
        <f t="shared" si="5"/>
        <v>0</v>
      </c>
      <c r="P20" s="870" t="s">
        <v>2</v>
      </c>
      <c r="Q20" s="871">
        <f t="shared" si="6"/>
        <v>0</v>
      </c>
    </row>
    <row r="21" spans="1:17" ht="22.5" customHeight="1" x14ac:dyDescent="0.25">
      <c r="A21" s="1335"/>
      <c r="B21" s="764"/>
      <c r="C21" s="869"/>
      <c r="D21" s="762">
        <f t="shared" si="9"/>
        <v>100</v>
      </c>
      <c r="E21" s="1249">
        <v>0</v>
      </c>
      <c r="F21" s="1249">
        <v>0</v>
      </c>
      <c r="G21" s="1250">
        <v>0</v>
      </c>
      <c r="H21" s="1250">
        <v>0</v>
      </c>
      <c r="I21" s="853">
        <f t="shared" si="10"/>
        <v>0</v>
      </c>
      <c r="J21" s="870" t="s">
        <v>2</v>
      </c>
      <c r="K21" s="874">
        <f t="shared" si="2"/>
        <v>0</v>
      </c>
      <c r="L21" s="853">
        <f t="shared" si="3"/>
        <v>0</v>
      </c>
      <c r="M21" s="870" t="s">
        <v>2</v>
      </c>
      <c r="N21" s="873">
        <f t="shared" si="4"/>
        <v>0</v>
      </c>
      <c r="O21" s="853">
        <f t="shared" si="5"/>
        <v>0</v>
      </c>
      <c r="P21" s="870" t="s">
        <v>2</v>
      </c>
      <c r="Q21" s="871">
        <f t="shared" si="6"/>
        <v>0</v>
      </c>
    </row>
    <row r="22" spans="1:17" ht="22.5" customHeight="1" x14ac:dyDescent="0.25">
      <c r="A22" s="1335"/>
      <c r="B22" s="764"/>
      <c r="C22" s="869"/>
      <c r="D22" s="762">
        <f t="shared" ref="D22" si="11">100-E22-F22</f>
        <v>100</v>
      </c>
      <c r="E22" s="1249">
        <v>0</v>
      </c>
      <c r="F22" s="1249">
        <v>0</v>
      </c>
      <c r="G22" s="1250">
        <v>0</v>
      </c>
      <c r="H22" s="1250">
        <v>0</v>
      </c>
      <c r="I22" s="853">
        <f t="shared" ref="I22" si="12">G22*(D22/100+E22*0.5/100+F22*0.75/100)*(0.25+0.43*H22/6.25-0.06*H22/6.25*H22/6.25)</f>
        <v>0</v>
      </c>
      <c r="J22" s="870" t="s">
        <v>2</v>
      </c>
      <c r="K22" s="874">
        <f t="shared" ref="K22" si="13">IF(J22="E",0,IF(J22="D",I22*0.5,IF(J22="C",I22,IF(J22="B",I22*1.5,IF(J22="A",I22*2)))))</f>
        <v>0</v>
      </c>
      <c r="L22" s="853">
        <f t="shared" ref="L22" si="14">G22*(D22/100+E22*0.5/100+F22*0.75/100)*H22/6</f>
        <v>0</v>
      </c>
      <c r="M22" s="870" t="s">
        <v>2</v>
      </c>
      <c r="N22" s="873">
        <f t="shared" ref="N22" si="15">IF(M22="E",0,IF(M22="D",L22*0.5,IF(M22="C",L22,IF(M22="B",L22*1.5,IF(M22="A",L22*2)))))</f>
        <v>0</v>
      </c>
      <c r="O22" s="853">
        <f t="shared" ref="O22" si="16">L22/6</f>
        <v>0</v>
      </c>
      <c r="P22" s="870" t="s">
        <v>2</v>
      </c>
      <c r="Q22" s="871">
        <f t="shared" ref="Q22" si="17">IF(P22="E",0,IF(P22="D",O22*0.5,IF(P22="C",O22,IF(P22="B",O22*1.5,IF(P22="A",O22*2)))))</f>
        <v>0</v>
      </c>
    </row>
    <row r="23" spans="1:17" ht="18.75" x14ac:dyDescent="0.25">
      <c r="A23" s="764"/>
      <c r="B23" s="764"/>
    </row>
    <row r="24" spans="1:17" ht="15.75" customHeight="1" x14ac:dyDescent="0.25">
      <c r="A24" s="764"/>
      <c r="B24" s="764"/>
    </row>
    <row r="25" spans="1:17" ht="18.75" x14ac:dyDescent="0.25">
      <c r="A25" s="764"/>
      <c r="B25" s="764"/>
    </row>
    <row r="26" spans="1:17" ht="18.75" x14ac:dyDescent="0.25">
      <c r="A26" s="764"/>
      <c r="B26" s="764"/>
    </row>
    <row r="27" spans="1:17" ht="18.75" x14ac:dyDescent="0.25">
      <c r="A27" s="764"/>
      <c r="B27" s="764"/>
    </row>
    <row r="28" spans="1:17" ht="18.75" x14ac:dyDescent="0.25">
      <c r="A28" s="764"/>
      <c r="B28" s="764"/>
    </row>
    <row r="29" spans="1:17" ht="18.75" x14ac:dyDescent="0.25">
      <c r="A29" s="764"/>
      <c r="B29" s="764"/>
    </row>
    <row r="30" spans="1:17" ht="18.75" x14ac:dyDescent="0.25">
      <c r="A30" s="764"/>
      <c r="B30" s="764"/>
    </row>
    <row r="31" spans="1:17" ht="18.75" x14ac:dyDescent="0.25">
      <c r="A31" s="764"/>
      <c r="B31" s="764"/>
    </row>
    <row r="32" spans="1:17" ht="18.75" x14ac:dyDescent="0.25">
      <c r="A32" s="764"/>
      <c r="B32" s="764"/>
    </row>
    <row r="33" spans="1:2" ht="24" customHeight="1" x14ac:dyDescent="0.25">
      <c r="A33" s="764"/>
      <c r="B33" s="764"/>
    </row>
    <row r="34" spans="1:2" ht="18.75" x14ac:dyDescent="0.25">
      <c r="A34" s="764"/>
      <c r="B34" s="764"/>
    </row>
    <row r="35" spans="1:2" ht="18.75" x14ac:dyDescent="0.25">
      <c r="A35" s="764"/>
      <c r="B35" s="764"/>
    </row>
    <row r="36" spans="1:2" ht="15.75" customHeight="1" x14ac:dyDescent="0.25">
      <c r="A36" s="764"/>
      <c r="B36" s="764"/>
    </row>
    <row r="37" spans="1:2" ht="18.75" x14ac:dyDescent="0.25">
      <c r="A37" s="764"/>
      <c r="B37" s="764"/>
    </row>
    <row r="38" spans="1:2" ht="18.75" x14ac:dyDescent="0.25">
      <c r="A38" s="764"/>
      <c r="B38" s="764"/>
    </row>
    <row r="39" spans="1:2" ht="18.75" x14ac:dyDescent="0.25">
      <c r="A39" s="764"/>
      <c r="B39" s="764"/>
    </row>
    <row r="40" spans="1:2" ht="18.75" x14ac:dyDescent="0.25">
      <c r="A40" s="764"/>
      <c r="B40" s="764"/>
    </row>
    <row r="41" spans="1:2" ht="18.75" x14ac:dyDescent="0.25">
      <c r="A41" s="764"/>
      <c r="B41" s="764"/>
    </row>
    <row r="42" spans="1:2" ht="18.75" x14ac:dyDescent="0.25">
      <c r="A42" s="764"/>
      <c r="B42" s="764"/>
    </row>
    <row r="43" spans="1:2" ht="18.75" x14ac:dyDescent="0.25">
      <c r="A43" s="764"/>
      <c r="B43" s="764"/>
    </row>
    <row r="44" spans="1:2" ht="18.75" x14ac:dyDescent="0.25">
      <c r="A44" s="764"/>
      <c r="B44" s="764"/>
    </row>
    <row r="45" spans="1:2" ht="18.75" x14ac:dyDescent="0.25">
      <c r="A45" s="764"/>
      <c r="B45" s="764"/>
    </row>
    <row r="46" spans="1:2" ht="24" customHeight="1" x14ac:dyDescent="0.25">
      <c r="A46" s="764"/>
      <c r="B46" s="764"/>
    </row>
  </sheetData>
  <sheetProtection sheet="1" formatCells="0" formatColumns="0" formatRows="0" selectLockedCells="1"/>
  <mergeCells count="9">
    <mergeCell ref="O3:Q3"/>
    <mergeCell ref="A1:A22"/>
    <mergeCell ref="C1:Q1"/>
    <mergeCell ref="L3:N3"/>
    <mergeCell ref="D3:F3"/>
    <mergeCell ref="G3:G4"/>
    <mergeCell ref="H3:H4"/>
    <mergeCell ref="C3:C4"/>
    <mergeCell ref="I3:K3"/>
  </mergeCells>
  <dataValidations count="1">
    <dataValidation type="list" allowBlank="1" showInputMessage="1" showErrorMessage="1" sqref="J5:J22 M5:M22 P5:P22" xr:uid="{00000000-0002-0000-1100-000000000000}">
      <formula1>"A,B,C,D,E"</formula1>
    </dataValidation>
  </dataValidations>
  <pageMargins left="0.7" right="0.7" top="0.78740157499999996" bottom="0.78740157499999996" header="0.3" footer="0.3"/>
  <pageSetup paperSize="9" scale="60" orientation="landscape" horizontalDpi="4294967293" verticalDpi="4294967293"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15">
    <tabColor theme="0"/>
    <pageSetUpPr fitToPage="1"/>
  </sheetPr>
  <dimension ref="A1:M121"/>
  <sheetViews>
    <sheetView zoomScaleNormal="100" workbookViewId="0">
      <selection activeCell="D7" sqref="D7"/>
    </sheetView>
  </sheetViews>
  <sheetFormatPr baseColWidth="10" defaultRowHeight="15" x14ac:dyDescent="0.25"/>
  <cols>
    <col min="1" max="1" width="39.28515625" style="41" customWidth="1"/>
    <col min="2" max="2" width="42.5703125" style="112" customWidth="1"/>
    <col min="3" max="3" width="22.28515625" style="80" customWidth="1"/>
    <col min="4" max="4" width="28.5703125" style="15" customWidth="1"/>
    <col min="5" max="5" width="20.5703125" style="15" customWidth="1"/>
    <col min="6" max="6" width="35.85546875" style="15" customWidth="1"/>
    <col min="7" max="7" width="29.5703125" style="15" customWidth="1"/>
    <col min="8" max="8" width="18.140625" style="15" customWidth="1"/>
    <col min="9" max="9" width="18.85546875" style="80" customWidth="1"/>
    <col min="10" max="10" width="20.42578125" style="15" customWidth="1"/>
    <col min="11" max="11" width="24.42578125" style="80" customWidth="1"/>
    <col min="12" max="12" width="20.140625" style="80" customWidth="1"/>
    <col min="13" max="16384" width="11.42578125" style="15"/>
  </cols>
  <sheetData>
    <row r="1" spans="1:12" x14ac:dyDescent="0.25">
      <c r="B1" s="112" t="str">
        <f>'DüV-N-Ackerbau (1)'!C1</f>
        <v>Testbetrieb</v>
      </c>
      <c r="C1" s="112" t="str">
        <f>'DüV-N-Ackerbau (1)'!F1</f>
        <v>Erntejahr</v>
      </c>
      <c r="E1" s="11" t="s">
        <v>36</v>
      </c>
      <c r="G1" s="80"/>
      <c r="J1" s="80"/>
      <c r="K1" s="15"/>
      <c r="L1" s="15"/>
    </row>
    <row r="2" spans="1:12" x14ac:dyDescent="0.25">
      <c r="B2" s="112">
        <f>'DüV-N-Ackerbau (1)'!C2</f>
        <v>1</v>
      </c>
      <c r="C2" s="112">
        <f>'DüV-N-Ackerbau (1)'!G1</f>
        <v>2022</v>
      </c>
      <c r="D2" s="41"/>
      <c r="E2" s="12" t="s">
        <v>34</v>
      </c>
      <c r="G2" s="80"/>
      <c r="J2" s="80"/>
      <c r="K2" s="15"/>
      <c r="L2" s="15"/>
    </row>
    <row r="3" spans="1:12" x14ac:dyDescent="0.25">
      <c r="B3" s="112">
        <f>'DüV-N-Ackerbau (1)'!C3</f>
        <v>123456</v>
      </c>
      <c r="C3" s="41"/>
      <c r="D3" s="112"/>
      <c r="G3" s="80"/>
      <c r="J3" s="80"/>
      <c r="K3" s="15"/>
      <c r="L3" s="15"/>
    </row>
    <row r="4" spans="1:12" ht="7.5" customHeight="1" thickBot="1" x14ac:dyDescent="0.3">
      <c r="B4" s="41"/>
      <c r="G4" s="80"/>
      <c r="J4" s="80"/>
      <c r="K4" s="15"/>
      <c r="L4" s="15"/>
    </row>
    <row r="5" spans="1:12" ht="22.5" customHeight="1" thickBot="1" x14ac:dyDescent="0.3">
      <c r="A5" s="1604" t="s">
        <v>0</v>
      </c>
      <c r="B5" s="1605"/>
      <c r="C5" s="1605"/>
      <c r="D5" s="1606"/>
      <c r="G5" s="80"/>
      <c r="J5" s="80"/>
      <c r="K5" s="15"/>
      <c r="L5" s="15"/>
    </row>
    <row r="6" spans="1:12" ht="48" thickBot="1" x14ac:dyDescent="0.3">
      <c r="A6" s="1607" t="s">
        <v>588</v>
      </c>
      <c r="B6" s="1608"/>
      <c r="C6" s="280" t="s">
        <v>579</v>
      </c>
      <c r="D6" s="346" t="s">
        <v>533</v>
      </c>
      <c r="F6" s="352"/>
      <c r="G6" s="351" t="s">
        <v>5</v>
      </c>
      <c r="H6" s="352"/>
      <c r="I6" s="352"/>
      <c r="J6" s="352"/>
      <c r="K6" s="15"/>
      <c r="L6" s="15"/>
    </row>
    <row r="7" spans="1:12" ht="15.75" x14ac:dyDescent="0.25">
      <c r="A7" s="59"/>
      <c r="B7" s="41" t="s">
        <v>677</v>
      </c>
      <c r="C7" s="314">
        <v>80</v>
      </c>
      <c r="D7" s="319"/>
      <c r="F7" s="351" t="s">
        <v>6</v>
      </c>
      <c r="G7" s="352"/>
      <c r="H7" s="352"/>
      <c r="I7" s="351" t="s">
        <v>159</v>
      </c>
      <c r="J7" s="352"/>
      <c r="K7" s="15"/>
      <c r="L7" s="15"/>
    </row>
    <row r="8" spans="1:12" ht="15.75" x14ac:dyDescent="0.25">
      <c r="A8" s="59"/>
      <c r="B8" s="41"/>
      <c r="C8" s="347" t="str">
        <f>IF(OR(C7&lt;30,C7&gt;150),"Sind Sie sicher?"," ")</f>
        <v xml:space="preserve"> </v>
      </c>
      <c r="D8" s="319"/>
      <c r="F8" s="352" t="s">
        <v>510</v>
      </c>
      <c r="G8" s="352">
        <v>0</v>
      </c>
      <c r="H8" s="352"/>
      <c r="I8" s="352" t="s">
        <v>160</v>
      </c>
      <c r="J8" s="352">
        <v>0</v>
      </c>
      <c r="K8" s="15"/>
      <c r="L8" s="15"/>
    </row>
    <row r="9" spans="1:12" ht="15.75" x14ac:dyDescent="0.25">
      <c r="A9" s="59"/>
      <c r="B9" s="41"/>
      <c r="C9" s="345" t="s">
        <v>4</v>
      </c>
      <c r="D9" s="319"/>
      <c r="F9" s="352" t="s">
        <v>22</v>
      </c>
      <c r="G9" s="352">
        <v>10</v>
      </c>
      <c r="H9" s="352"/>
      <c r="I9" s="352" t="s">
        <v>161</v>
      </c>
      <c r="J9" s="352">
        <v>20</v>
      </c>
      <c r="K9" s="15"/>
      <c r="L9" s="15"/>
    </row>
    <row r="10" spans="1:12" ht="15.75" x14ac:dyDescent="0.25">
      <c r="A10" s="59"/>
      <c r="B10" s="41" t="s">
        <v>37</v>
      </c>
      <c r="C10" s="308">
        <f>IF(C7&lt;=79,110+C7*1.5,(IF(C7&gt;=80,150+C7)))</f>
        <v>230</v>
      </c>
      <c r="D10" s="320"/>
      <c r="E10" s="14"/>
      <c r="F10" s="352" t="s">
        <v>535</v>
      </c>
      <c r="G10" s="352">
        <v>10</v>
      </c>
      <c r="H10" s="352"/>
      <c r="I10" s="352"/>
      <c r="J10" s="352"/>
      <c r="K10" s="15"/>
      <c r="L10" s="15"/>
    </row>
    <row r="11" spans="1:12" ht="15.75" x14ac:dyDescent="0.25">
      <c r="A11" s="59" t="s">
        <v>32</v>
      </c>
      <c r="B11" s="322" t="s">
        <v>15</v>
      </c>
      <c r="C11" s="45">
        <f>VLOOKUP(B11,I14:J16,2,FALSE)</f>
        <v>0</v>
      </c>
      <c r="D11" s="320"/>
      <c r="F11" s="352" t="s">
        <v>7</v>
      </c>
      <c r="G11" s="352">
        <v>10</v>
      </c>
      <c r="H11" s="352"/>
      <c r="I11" s="352"/>
      <c r="J11" s="352"/>
      <c r="K11" s="15"/>
      <c r="L11" s="15"/>
    </row>
    <row r="12" spans="1:12" ht="18" x14ac:dyDescent="0.25">
      <c r="A12" s="59"/>
      <c r="B12" s="41" t="s">
        <v>38</v>
      </c>
      <c r="C12" s="359">
        <v>20</v>
      </c>
      <c r="D12" s="320"/>
      <c r="F12" s="352" t="s">
        <v>17</v>
      </c>
      <c r="G12" s="352">
        <v>20</v>
      </c>
      <c r="H12" s="352"/>
      <c r="I12" s="352"/>
      <c r="J12" s="352"/>
      <c r="K12" s="15"/>
      <c r="L12" s="15"/>
    </row>
    <row r="13" spans="1:12" ht="18" x14ac:dyDescent="0.25">
      <c r="A13" s="59"/>
      <c r="B13" s="41" t="s">
        <v>39</v>
      </c>
      <c r="C13" s="359">
        <v>15</v>
      </c>
      <c r="D13" s="320"/>
      <c r="F13" s="352" t="s">
        <v>23</v>
      </c>
      <c r="G13" s="352">
        <v>0</v>
      </c>
      <c r="H13" s="352"/>
      <c r="I13" s="351" t="s">
        <v>1</v>
      </c>
      <c r="J13" s="352"/>
      <c r="K13" s="15"/>
      <c r="L13" s="15"/>
    </row>
    <row r="14" spans="1:12" ht="18" x14ac:dyDescent="0.25">
      <c r="A14" s="59"/>
      <c r="B14" s="41" t="s">
        <v>40</v>
      </c>
      <c r="C14" s="359">
        <v>10</v>
      </c>
      <c r="D14" s="320"/>
      <c r="F14" s="352" t="s">
        <v>20</v>
      </c>
      <c r="G14" s="352">
        <v>20</v>
      </c>
      <c r="H14" s="352"/>
      <c r="I14" s="351" t="s">
        <v>2</v>
      </c>
      <c r="J14" s="352">
        <v>-20</v>
      </c>
      <c r="K14" s="15"/>
      <c r="L14" s="15"/>
    </row>
    <row r="15" spans="1:12" x14ac:dyDescent="0.25">
      <c r="A15" s="59" t="s">
        <v>8</v>
      </c>
      <c r="B15" s="292" t="s">
        <v>31</v>
      </c>
      <c r="C15" s="46">
        <f>VLOOKUP(B15,F21:G31,2,FALSE)</f>
        <v>0</v>
      </c>
      <c r="D15" s="320"/>
      <c r="F15" s="352" t="s">
        <v>19</v>
      </c>
      <c r="G15" s="352">
        <v>10</v>
      </c>
      <c r="H15" s="352"/>
      <c r="I15" s="351" t="s">
        <v>15</v>
      </c>
      <c r="J15" s="352">
        <v>0</v>
      </c>
      <c r="K15" s="15"/>
      <c r="L15" s="15"/>
    </row>
    <row r="16" spans="1:12" x14ac:dyDescent="0.25">
      <c r="A16" s="59" t="s">
        <v>6</v>
      </c>
      <c r="B16" s="292" t="s">
        <v>535</v>
      </c>
      <c r="C16" s="46">
        <f>VLOOKUP(B16,F8:G18,2,FALSE)</f>
        <v>10</v>
      </c>
      <c r="D16" s="320"/>
      <c r="F16" s="352" t="s">
        <v>536</v>
      </c>
      <c r="G16" s="352">
        <v>0</v>
      </c>
      <c r="H16" s="352"/>
      <c r="I16" s="351" t="s">
        <v>3</v>
      </c>
      <c r="J16" s="352">
        <v>30</v>
      </c>
      <c r="K16" s="15"/>
      <c r="L16" s="15"/>
    </row>
    <row r="17" spans="1:12" ht="15.75" x14ac:dyDescent="0.25">
      <c r="A17" s="59" t="s">
        <v>1073</v>
      </c>
      <c r="B17" s="112" t="s">
        <v>24</v>
      </c>
      <c r="C17" s="321">
        <v>0</v>
      </c>
      <c r="D17" s="320"/>
      <c r="E17" s="358" t="str">
        <f>IF(C17&gt;25,"Sind Sie sicher?"," ")</f>
        <v xml:space="preserve"> </v>
      </c>
      <c r="F17" s="352" t="s">
        <v>21</v>
      </c>
      <c r="G17" s="352">
        <v>10</v>
      </c>
      <c r="H17" s="352"/>
      <c r="I17" s="352"/>
      <c r="J17" s="352"/>
      <c r="K17" s="15"/>
      <c r="L17" s="15"/>
    </row>
    <row r="18" spans="1:12" ht="15.75" thickBot="1" x14ac:dyDescent="0.3">
      <c r="A18" s="59" t="s">
        <v>159</v>
      </c>
      <c r="B18" s="292" t="s">
        <v>160</v>
      </c>
      <c r="C18" s="65">
        <f>VLOOKUP(B18,I8:J9,2,FALSE)</f>
        <v>0</v>
      </c>
      <c r="D18" s="293"/>
      <c r="F18" s="352" t="s">
        <v>18</v>
      </c>
      <c r="G18" s="352">
        <v>20</v>
      </c>
      <c r="H18" s="352"/>
      <c r="I18" s="352"/>
      <c r="J18" s="352"/>
      <c r="K18" s="15"/>
      <c r="L18" s="15"/>
    </row>
    <row r="19" spans="1:12" ht="23.25" customHeight="1" thickBot="1" x14ac:dyDescent="0.3">
      <c r="A19" s="242"/>
      <c r="B19" s="243" t="s">
        <v>475</v>
      </c>
      <c r="C19" s="239">
        <f>C10+C11-SUM(C12:C18)</f>
        <v>175</v>
      </c>
      <c r="D19" s="244" t="s">
        <v>477</v>
      </c>
      <c r="F19" s="80"/>
      <c r="G19" s="80"/>
      <c r="H19" s="80"/>
      <c r="J19" s="352"/>
      <c r="K19" s="15"/>
      <c r="L19" s="15"/>
    </row>
    <row r="20" spans="1:12" ht="9" customHeight="1" thickBot="1" x14ac:dyDescent="0.3">
      <c r="A20" s="59"/>
      <c r="B20" s="141"/>
      <c r="C20" s="10"/>
      <c r="D20" s="252"/>
      <c r="F20" s="351" t="s">
        <v>8</v>
      </c>
      <c r="G20" s="352"/>
      <c r="H20" s="352"/>
      <c r="I20" s="970" t="s">
        <v>178</v>
      </c>
      <c r="J20" s="971"/>
      <c r="K20" s="15"/>
      <c r="L20" s="15"/>
    </row>
    <row r="21" spans="1:12" ht="19.5" customHeight="1" x14ac:dyDescent="0.25">
      <c r="A21" s="1607" t="s">
        <v>584</v>
      </c>
      <c r="B21" s="1609"/>
      <c r="C21" s="660" t="s">
        <v>593</v>
      </c>
      <c r="D21" s="444" t="s">
        <v>593</v>
      </c>
      <c r="F21" s="352" t="s">
        <v>31</v>
      </c>
      <c r="G21" s="352">
        <v>0</v>
      </c>
      <c r="H21" s="352"/>
      <c r="I21" s="971" t="s">
        <v>1225</v>
      </c>
      <c r="J21" s="971">
        <v>1</v>
      </c>
      <c r="K21" s="15"/>
      <c r="L21" s="15"/>
    </row>
    <row r="22" spans="1:12" ht="19.5" customHeight="1" x14ac:dyDescent="0.25">
      <c r="A22" s="1610" t="s">
        <v>596</v>
      </c>
      <c r="B22" s="464" t="s">
        <v>585</v>
      </c>
      <c r="C22" s="462" t="s">
        <v>586</v>
      </c>
      <c r="D22" s="465" t="s">
        <v>587</v>
      </c>
      <c r="F22" s="352" t="s">
        <v>25</v>
      </c>
      <c r="G22" s="352">
        <v>0</v>
      </c>
      <c r="H22" s="352"/>
      <c r="I22" s="971" t="s">
        <v>184</v>
      </c>
      <c r="J22" s="971">
        <v>0.5</v>
      </c>
      <c r="K22" s="15"/>
      <c r="L22" s="15"/>
    </row>
    <row r="23" spans="1:12" ht="19.5" customHeight="1" x14ac:dyDescent="0.25">
      <c r="A23" s="1611"/>
      <c r="B23" s="442" t="s">
        <v>589</v>
      </c>
      <c r="C23" s="226">
        <f>C25*2</f>
        <v>128</v>
      </c>
      <c r="D23" s="443">
        <f>D25*2</f>
        <v>166.4</v>
      </c>
      <c r="F23" s="352" t="s">
        <v>26</v>
      </c>
      <c r="G23" s="352">
        <v>0</v>
      </c>
      <c r="H23" s="352"/>
      <c r="I23" s="971" t="s">
        <v>1227</v>
      </c>
      <c r="J23" s="971">
        <v>0.6</v>
      </c>
      <c r="K23" s="15"/>
      <c r="L23" s="15"/>
    </row>
    <row r="24" spans="1:12" ht="19.5" customHeight="1" x14ac:dyDescent="0.25">
      <c r="A24" s="1611"/>
      <c r="B24" s="442" t="s">
        <v>590</v>
      </c>
      <c r="C24" s="226">
        <f>C25*1.5</f>
        <v>96</v>
      </c>
      <c r="D24" s="443">
        <f>D25*1.5</f>
        <v>124.80000000000001</v>
      </c>
      <c r="F24" s="352" t="s">
        <v>27</v>
      </c>
      <c r="G24" s="352">
        <v>20</v>
      </c>
      <c r="H24" s="352"/>
      <c r="I24" s="971" t="s">
        <v>1228</v>
      </c>
      <c r="J24" s="971">
        <v>0.4</v>
      </c>
      <c r="K24" s="15"/>
      <c r="L24" s="15"/>
    </row>
    <row r="25" spans="1:12" ht="19.5" customHeight="1" x14ac:dyDescent="0.25">
      <c r="A25" s="1611"/>
      <c r="B25" s="442" t="s">
        <v>591</v>
      </c>
      <c r="C25" s="446">
        <f>C7*0.8</f>
        <v>64</v>
      </c>
      <c r="D25" s="447">
        <f>C7*1.04</f>
        <v>83.2</v>
      </c>
      <c r="F25" s="352" t="s">
        <v>28</v>
      </c>
      <c r="G25" s="352">
        <v>10</v>
      </c>
      <c r="H25" s="352"/>
      <c r="I25" s="971" t="s">
        <v>1226</v>
      </c>
      <c r="J25" s="971">
        <v>0.35</v>
      </c>
      <c r="K25" s="15"/>
      <c r="L25" s="15"/>
    </row>
    <row r="26" spans="1:12" ht="19.5" customHeight="1" x14ac:dyDescent="0.25">
      <c r="A26" s="1421"/>
      <c r="B26" s="442" t="s">
        <v>592</v>
      </c>
      <c r="C26" s="226">
        <f>C25*0.5</f>
        <v>32</v>
      </c>
      <c r="D26" s="443">
        <f>D25*0.5</f>
        <v>41.6</v>
      </c>
      <c r="F26" s="352" t="s">
        <v>29</v>
      </c>
      <c r="G26" s="352">
        <v>10</v>
      </c>
      <c r="H26" s="352"/>
      <c r="I26" s="971" t="s">
        <v>48</v>
      </c>
      <c r="J26" s="971">
        <v>0.3</v>
      </c>
      <c r="K26" s="15"/>
      <c r="L26" s="15"/>
    </row>
    <row r="27" spans="1:12" ht="24" customHeight="1" x14ac:dyDescent="0.25">
      <c r="A27" s="1612"/>
      <c r="B27" s="1614" t="s">
        <v>594</v>
      </c>
      <c r="C27" s="1616" t="s">
        <v>597</v>
      </c>
      <c r="D27" s="1617"/>
      <c r="F27" s="352" t="s">
        <v>681</v>
      </c>
      <c r="G27" s="352">
        <v>30</v>
      </c>
      <c r="H27" s="352"/>
      <c r="I27" s="971" t="s">
        <v>31</v>
      </c>
      <c r="J27" s="971">
        <v>0</v>
      </c>
      <c r="K27" s="15"/>
      <c r="L27" s="15"/>
    </row>
    <row r="28" spans="1:12" ht="30.75" customHeight="1" thickBot="1" x14ac:dyDescent="0.3">
      <c r="A28" s="1613"/>
      <c r="B28" s="1615"/>
      <c r="C28" s="1618"/>
      <c r="D28" s="1619"/>
      <c r="F28" s="352" t="s">
        <v>30</v>
      </c>
      <c r="G28" s="352">
        <v>40</v>
      </c>
      <c r="H28" s="352"/>
      <c r="I28" s="352"/>
      <c r="J28" s="352"/>
      <c r="K28" s="15"/>
      <c r="L28" s="15"/>
    </row>
    <row r="29" spans="1:12" ht="11.25" customHeight="1" thickBot="1" x14ac:dyDescent="0.3">
      <c r="E29" s="13"/>
      <c r="F29" s="352" t="s">
        <v>9</v>
      </c>
      <c r="G29" s="352">
        <v>0</v>
      </c>
      <c r="H29" s="352"/>
      <c r="I29" s="351" t="s">
        <v>69</v>
      </c>
      <c r="J29" s="352"/>
      <c r="K29" s="15"/>
      <c r="L29" s="15"/>
    </row>
    <row r="30" spans="1:12" ht="14.25" customHeight="1" x14ac:dyDescent="0.25">
      <c r="A30" s="1598" t="s">
        <v>498</v>
      </c>
      <c r="B30" s="1599"/>
      <c r="C30" s="228" t="s">
        <v>140</v>
      </c>
      <c r="D30" s="1380" t="s">
        <v>342</v>
      </c>
      <c r="F30" s="352" t="s">
        <v>10</v>
      </c>
      <c r="G30" s="352">
        <v>10</v>
      </c>
      <c r="H30" s="352"/>
      <c r="I30" s="352" t="s">
        <v>256</v>
      </c>
      <c r="J30" s="352">
        <v>15</v>
      </c>
      <c r="K30" s="15"/>
      <c r="L30" s="15"/>
    </row>
    <row r="31" spans="1:12" ht="15.75" customHeight="1" thickBot="1" x14ac:dyDescent="0.3">
      <c r="A31" s="1600"/>
      <c r="B31" s="1601"/>
      <c r="C31" s="229" t="s">
        <v>4</v>
      </c>
      <c r="D31" s="1346"/>
      <c r="F31" s="352" t="s">
        <v>31</v>
      </c>
      <c r="G31" s="352">
        <v>0</v>
      </c>
      <c r="H31" s="352"/>
      <c r="I31" s="352" t="s">
        <v>54</v>
      </c>
      <c r="J31" s="352">
        <v>0</v>
      </c>
      <c r="K31" s="15"/>
      <c r="L31" s="15"/>
    </row>
    <row r="32" spans="1:12" x14ac:dyDescent="0.25">
      <c r="A32" s="70" t="s">
        <v>35</v>
      </c>
      <c r="B32" s="295">
        <v>45</v>
      </c>
      <c r="C32" s="50">
        <f>IF(OR(B32&lt;1,B32&gt;100),"Zahl 0 bis 100 eingeben",(-0.0025*B32*B32+0.75*B32-26)*0.4)</f>
        <v>1.075</v>
      </c>
      <c r="D32" s="71" t="s">
        <v>163</v>
      </c>
      <c r="F32" s="80"/>
      <c r="G32" s="80"/>
      <c r="H32" s="80"/>
      <c r="J32" s="80"/>
      <c r="K32" s="15"/>
      <c r="L32" s="15"/>
    </row>
    <row r="33" spans="1:12" x14ac:dyDescent="0.25">
      <c r="A33" s="70" t="s">
        <v>162</v>
      </c>
      <c r="B33" s="295">
        <v>80</v>
      </c>
      <c r="C33" s="50">
        <f>IF(OR(B33&lt;40,B33&gt;800),"gibt es nicht",(B33*0.025-1))</f>
        <v>1</v>
      </c>
      <c r="D33" s="71" t="s">
        <v>164</v>
      </c>
      <c r="I33" s="15"/>
      <c r="K33" s="15"/>
      <c r="L33" s="15"/>
    </row>
    <row r="34" spans="1:12" x14ac:dyDescent="0.25">
      <c r="A34" s="70" t="s">
        <v>51</v>
      </c>
      <c r="B34" s="292" t="s">
        <v>31</v>
      </c>
      <c r="C34" s="56">
        <f>VLOOKUP(B34,I21:J27,2,FALSE)</f>
        <v>0</v>
      </c>
      <c r="D34" s="72" t="s">
        <v>50</v>
      </c>
      <c r="I34" s="15"/>
      <c r="K34" s="15"/>
      <c r="L34" s="15"/>
    </row>
    <row r="35" spans="1:12" x14ac:dyDescent="0.25">
      <c r="A35" s="70" t="s">
        <v>46</v>
      </c>
      <c r="B35" s="361">
        <v>0</v>
      </c>
      <c r="C35" s="46">
        <f>B35*10*C34</f>
        <v>0</v>
      </c>
      <c r="D35" s="71" t="s">
        <v>163</v>
      </c>
      <c r="I35" s="15"/>
      <c r="K35" s="15"/>
      <c r="L35" s="15"/>
    </row>
    <row r="36" spans="1:12" ht="15.75" x14ac:dyDescent="0.25">
      <c r="A36" s="73" t="s">
        <v>47</v>
      </c>
      <c r="B36" s="224" t="str">
        <f>IF(B35&gt;3,"Sind Sie sicher?"," ")</f>
        <v xml:space="preserve"> </v>
      </c>
      <c r="C36" s="46"/>
      <c r="D36" s="71"/>
      <c r="I36" s="15"/>
      <c r="K36" s="15"/>
      <c r="L36" s="15"/>
    </row>
    <row r="37" spans="1:12" x14ac:dyDescent="0.25">
      <c r="A37" s="70" t="s">
        <v>69</v>
      </c>
      <c r="B37" s="388" t="s">
        <v>54</v>
      </c>
      <c r="C37" s="46">
        <f>VLOOKUP(B37,I30:J31,2,FALSE)</f>
        <v>0</v>
      </c>
      <c r="D37" s="74" t="s">
        <v>70</v>
      </c>
      <c r="I37" s="15"/>
      <c r="K37" s="15"/>
      <c r="L37" s="15"/>
    </row>
    <row r="38" spans="1:12" ht="51.75" customHeight="1" x14ac:dyDescent="0.25">
      <c r="A38" s="70"/>
      <c r="B38" s="146" t="s">
        <v>355</v>
      </c>
      <c r="C38" s="318">
        <v>13.5</v>
      </c>
      <c r="D38" s="191" t="s">
        <v>718</v>
      </c>
      <c r="I38" s="15"/>
      <c r="K38" s="15"/>
      <c r="L38" s="15"/>
    </row>
    <row r="39" spans="1:12" ht="30" customHeight="1" thickBot="1" x14ac:dyDescent="0.3">
      <c r="A39" s="75"/>
      <c r="B39" s="76" t="s">
        <v>1224</v>
      </c>
      <c r="C39" s="344" t="s">
        <v>477</v>
      </c>
      <c r="D39" s="77" t="s">
        <v>64</v>
      </c>
      <c r="I39" s="15"/>
      <c r="K39" s="15"/>
      <c r="L39" s="15"/>
    </row>
    <row r="40" spans="1:12" ht="21" customHeight="1" x14ac:dyDescent="0.25">
      <c r="A40" s="78" t="s">
        <v>61</v>
      </c>
      <c r="B40" s="42">
        <f>B43*0.3+C33*0.6</f>
        <v>67.408799999999985</v>
      </c>
      <c r="C40" s="230">
        <f>B40-C12-C13*0.25+C37</f>
        <v>43.658799999999985</v>
      </c>
      <c r="D40" s="39" t="s">
        <v>776</v>
      </c>
      <c r="F40" s="350"/>
      <c r="G40" s="352"/>
      <c r="H40" s="350"/>
      <c r="I40" s="350"/>
      <c r="J40" s="350"/>
      <c r="K40" s="15"/>
      <c r="L40" s="15"/>
    </row>
    <row r="41" spans="1:12" ht="21" customHeight="1" x14ac:dyDescent="0.25">
      <c r="A41" s="78" t="s">
        <v>62</v>
      </c>
      <c r="B41" s="19">
        <f>B43*0.4+C33*0.4</f>
        <v>89.478400000000008</v>
      </c>
      <c r="C41" s="231">
        <f>B41-C13*0.75-C14*0.5-C15*0.4-C16*0.4-C17*0.3-C32*0.5-C35*0.4-C37</f>
        <v>68.690900000000013</v>
      </c>
      <c r="D41" s="39" t="s">
        <v>165</v>
      </c>
      <c r="G41" s="80"/>
      <c r="J41" s="80"/>
      <c r="K41" s="15"/>
      <c r="L41" s="15"/>
    </row>
    <row r="42" spans="1:12" ht="23.25" customHeight="1" thickBot="1" x14ac:dyDescent="0.3">
      <c r="A42" s="78" t="s">
        <v>63</v>
      </c>
      <c r="B42" s="19">
        <f>B43*0.3</f>
        <v>66.808799999999991</v>
      </c>
      <c r="C42" s="232">
        <f>B42-C15*0.6-C16*0.6-C17*0.35-C32*0.5-C35*0.6</f>
        <v>60.271299999999989</v>
      </c>
      <c r="D42" s="39" t="s">
        <v>166</v>
      </c>
      <c r="G42" s="80"/>
      <c r="J42" s="80"/>
      <c r="K42" s="15"/>
      <c r="L42" s="15"/>
    </row>
    <row r="43" spans="1:12" ht="30.75" customHeight="1" x14ac:dyDescent="0.25">
      <c r="A43" s="66" t="s">
        <v>728</v>
      </c>
      <c r="B43" s="55">
        <f>(C57+C59)*1.14</f>
        <v>222.696</v>
      </c>
      <c r="C43" s="212">
        <f>C40+C41+C42</f>
        <v>172.62099999999998</v>
      </c>
      <c r="D43" s="189" t="str">
        <f>IF(C43&gt;C19,"Obergrenze einhalten!!!"," ")</f>
        <v xml:space="preserve"> </v>
      </c>
      <c r="G43" s="80"/>
      <c r="J43" s="80"/>
      <c r="K43" s="15"/>
      <c r="L43" s="15"/>
    </row>
    <row r="44" spans="1:12" ht="9.75" customHeight="1" x14ac:dyDescent="0.25"/>
    <row r="45" spans="1:12" ht="36" customHeight="1" x14ac:dyDescent="0.25">
      <c r="A45" s="302"/>
      <c r="B45" s="68"/>
      <c r="C45" s="303" t="s">
        <v>729</v>
      </c>
      <c r="D45" s="304"/>
      <c r="F45" s="519" t="s">
        <v>183</v>
      </c>
      <c r="G45" s="122" t="s">
        <v>186</v>
      </c>
      <c r="H45" s="80"/>
      <c r="I45" s="15"/>
      <c r="J45" s="80"/>
      <c r="L45" s="15"/>
    </row>
    <row r="46" spans="1:12" ht="18.75" customHeight="1" x14ac:dyDescent="0.25">
      <c r="A46" s="127"/>
      <c r="B46" s="141" t="s">
        <v>42</v>
      </c>
      <c r="C46" s="132">
        <f>C19</f>
        <v>175</v>
      </c>
      <c r="D46" s="305" t="s">
        <v>4</v>
      </c>
      <c r="F46" s="60" t="s">
        <v>179</v>
      </c>
      <c r="G46" s="60">
        <v>90</v>
      </c>
      <c r="H46" s="80"/>
      <c r="I46" s="15"/>
      <c r="J46" s="80"/>
      <c r="L46" s="15"/>
    </row>
    <row r="47" spans="1:12" ht="18.75" customHeight="1" x14ac:dyDescent="0.25">
      <c r="A47" s="1602" t="s">
        <v>711</v>
      </c>
      <c r="B47" s="615" t="s">
        <v>710</v>
      </c>
      <c r="C47" s="620">
        <v>0</v>
      </c>
      <c r="D47" s="618" t="s">
        <v>491</v>
      </c>
      <c r="F47" s="60" t="s">
        <v>814</v>
      </c>
      <c r="G47" s="60">
        <v>70</v>
      </c>
      <c r="H47" s="80"/>
      <c r="I47" s="15"/>
      <c r="J47" s="80"/>
      <c r="L47" s="15"/>
    </row>
    <row r="48" spans="1:12" ht="18.75" customHeight="1" x14ac:dyDescent="0.25">
      <c r="A48" s="1603"/>
      <c r="B48" s="616" t="s">
        <v>713</v>
      </c>
      <c r="C48" s="612">
        <v>0</v>
      </c>
      <c r="D48" s="309" t="s">
        <v>492</v>
      </c>
      <c r="F48" s="60" t="s">
        <v>815</v>
      </c>
      <c r="G48" s="60">
        <v>70</v>
      </c>
      <c r="H48" s="80"/>
      <c r="I48" s="15"/>
      <c r="J48" s="80"/>
      <c r="L48" s="15"/>
    </row>
    <row r="49" spans="1:12" ht="18.75" customHeight="1" x14ac:dyDescent="0.25">
      <c r="A49" s="664" t="s">
        <v>827</v>
      </c>
      <c r="B49" s="246" t="s">
        <v>714</v>
      </c>
      <c r="C49" s="619">
        <v>0</v>
      </c>
      <c r="D49" s="309" t="s">
        <v>260</v>
      </c>
      <c r="E49" s="14"/>
      <c r="F49" s="60" t="s">
        <v>819</v>
      </c>
      <c r="G49" s="519">
        <v>70</v>
      </c>
      <c r="H49" s="80"/>
      <c r="I49" s="15"/>
      <c r="J49" s="80"/>
      <c r="L49" s="15"/>
    </row>
    <row r="50" spans="1:12" ht="18.75" customHeight="1" x14ac:dyDescent="0.25">
      <c r="A50" s="1602" t="s">
        <v>712</v>
      </c>
      <c r="B50" s="615" t="s">
        <v>715</v>
      </c>
      <c r="C50" s="612">
        <v>0</v>
      </c>
      <c r="D50" s="618" t="s">
        <v>491</v>
      </c>
      <c r="F50" s="519" t="s">
        <v>820</v>
      </c>
      <c r="G50" s="519">
        <v>60</v>
      </c>
      <c r="H50" s="80"/>
      <c r="I50" s="15"/>
      <c r="J50" s="80"/>
      <c r="L50" s="15"/>
    </row>
    <row r="51" spans="1:12" ht="18.75" customHeight="1" x14ac:dyDescent="0.25">
      <c r="A51" s="1603"/>
      <c r="B51" s="616" t="s">
        <v>716</v>
      </c>
      <c r="C51" s="612">
        <v>0</v>
      </c>
      <c r="D51" s="309" t="s">
        <v>492</v>
      </c>
      <c r="F51" s="60" t="s">
        <v>48</v>
      </c>
      <c r="G51" s="519">
        <v>60</v>
      </c>
      <c r="H51" s="80"/>
      <c r="I51" s="15"/>
      <c r="J51" s="80"/>
      <c r="L51" s="15"/>
    </row>
    <row r="52" spans="1:12" ht="18.75" customHeight="1" x14ac:dyDescent="0.25">
      <c r="A52" s="664" t="s">
        <v>827</v>
      </c>
      <c r="B52" s="617" t="s">
        <v>717</v>
      </c>
      <c r="C52" s="612">
        <v>0</v>
      </c>
      <c r="D52" s="309" t="s">
        <v>260</v>
      </c>
      <c r="E52" s="13"/>
      <c r="F52" s="60" t="s">
        <v>821</v>
      </c>
      <c r="G52" s="60">
        <v>45</v>
      </c>
      <c r="H52" s="80"/>
      <c r="I52" s="15"/>
      <c r="J52" s="80"/>
      <c r="L52" s="15"/>
    </row>
    <row r="53" spans="1:12" ht="18.75" customHeight="1" x14ac:dyDescent="0.25">
      <c r="B53" s="727" t="s">
        <v>261</v>
      </c>
      <c r="C53" s="308">
        <f>(C47*C48*C49/100)+(C50*C51*C52/100)</f>
        <v>0</v>
      </c>
      <c r="D53" s="310" t="s">
        <v>4</v>
      </c>
      <c r="E53" s="13"/>
      <c r="F53" s="519" t="s">
        <v>816</v>
      </c>
      <c r="G53" s="519">
        <v>30</v>
      </c>
      <c r="H53" s="80"/>
      <c r="I53" s="15"/>
      <c r="J53" s="80"/>
      <c r="L53" s="15"/>
    </row>
    <row r="54" spans="1:12" ht="18.75" customHeight="1" x14ac:dyDescent="0.25">
      <c r="A54" s="182"/>
      <c r="B54" s="728" t="s">
        <v>136</v>
      </c>
      <c r="C54" s="308">
        <f>C46-C53</f>
        <v>175</v>
      </c>
      <c r="D54" s="311" t="s">
        <v>4</v>
      </c>
      <c r="F54" s="60" t="s">
        <v>1034</v>
      </c>
      <c r="G54" s="519">
        <v>30</v>
      </c>
      <c r="H54" s="80"/>
      <c r="I54" s="15"/>
      <c r="J54" s="80"/>
      <c r="L54" s="15"/>
    </row>
    <row r="55" spans="1:12" ht="18.75" customHeight="1" x14ac:dyDescent="0.25">
      <c r="A55" s="112"/>
      <c r="B55" s="60"/>
      <c r="C55" s="83"/>
      <c r="D55" s="137"/>
      <c r="F55" s="60" t="s">
        <v>187</v>
      </c>
      <c r="G55" s="519">
        <v>30</v>
      </c>
      <c r="H55" s="80"/>
      <c r="I55" s="15"/>
      <c r="J55" s="80"/>
      <c r="L55" s="15"/>
    </row>
    <row r="56" spans="1:12" ht="18.75" customHeight="1" x14ac:dyDescent="0.25">
      <c r="A56" s="67"/>
      <c r="B56" s="68"/>
      <c r="C56" s="312" t="s">
        <v>60</v>
      </c>
      <c r="D56" s="69"/>
      <c r="F56" s="60" t="s">
        <v>823</v>
      </c>
      <c r="G56" s="519">
        <v>30</v>
      </c>
      <c r="H56" s="80"/>
      <c r="I56" s="15"/>
      <c r="J56" s="80"/>
      <c r="L56" s="15"/>
    </row>
    <row r="57" spans="1:12" ht="18.75" customHeight="1" x14ac:dyDescent="0.25">
      <c r="A57" s="70"/>
      <c r="B57" s="41" t="s">
        <v>12</v>
      </c>
      <c r="C57" s="185">
        <f>C7*0.86*C38/5.7</f>
        <v>162.94736842105263</v>
      </c>
      <c r="D57" s="92" t="str">
        <f>IF(C57&gt;200,"mehr als 200 kg Korn-N/ha ist unrealistisch!","Korn-N-Abfuhr")</f>
        <v>Korn-N-Abfuhr</v>
      </c>
      <c r="F57" s="60" t="s">
        <v>824</v>
      </c>
      <c r="G57" s="519">
        <v>30</v>
      </c>
      <c r="H57" s="80"/>
      <c r="I57" s="15"/>
      <c r="J57" s="80"/>
      <c r="L57" s="15"/>
    </row>
    <row r="58" spans="1:12" ht="18.75" customHeight="1" x14ac:dyDescent="0.25">
      <c r="A58" s="70"/>
      <c r="B58" s="81" t="s">
        <v>14</v>
      </c>
      <c r="C58" s="186">
        <f>(115-0.5*C7)/100</f>
        <v>0.75</v>
      </c>
      <c r="D58" s="82" t="s">
        <v>344</v>
      </c>
      <c r="F58" s="60" t="s">
        <v>825</v>
      </c>
      <c r="G58" s="519">
        <v>30</v>
      </c>
      <c r="H58" s="80"/>
      <c r="I58" s="15"/>
      <c r="J58" s="80"/>
      <c r="L58" s="15"/>
    </row>
    <row r="59" spans="1:12" ht="18.75" customHeight="1" x14ac:dyDescent="0.25">
      <c r="A59" s="70"/>
      <c r="B59" s="41" t="s">
        <v>13</v>
      </c>
      <c r="C59" s="50">
        <f>C7*C58*C38/25</f>
        <v>32.4</v>
      </c>
      <c r="D59" s="71"/>
      <c r="E59" s="3"/>
      <c r="F59" s="60" t="s">
        <v>180</v>
      </c>
      <c r="G59" s="519">
        <v>25</v>
      </c>
      <c r="H59" s="80"/>
      <c r="I59" s="15"/>
      <c r="J59" s="80"/>
      <c r="L59" s="15"/>
    </row>
    <row r="60" spans="1:12" ht="18.75" customHeight="1" x14ac:dyDescent="0.25">
      <c r="A60" s="628" t="s">
        <v>68</v>
      </c>
      <c r="B60" s="41" t="s">
        <v>141</v>
      </c>
      <c r="C60" s="101">
        <f>C43-C57</f>
        <v>9.6736315789473508</v>
      </c>
      <c r="D60" s="84" t="s">
        <v>4</v>
      </c>
      <c r="E60" s="3"/>
      <c r="F60" s="60" t="s">
        <v>817</v>
      </c>
      <c r="G60" s="519">
        <v>25</v>
      </c>
    </row>
    <row r="61" spans="1:12" ht="18.75" customHeight="1" x14ac:dyDescent="0.25">
      <c r="A61" s="629" t="s">
        <v>739</v>
      </c>
      <c r="B61" s="41" t="s">
        <v>142</v>
      </c>
      <c r="C61" s="187">
        <f>C43-C57-C59</f>
        <v>-22.726368421052648</v>
      </c>
      <c r="D61" s="84" t="s">
        <v>4</v>
      </c>
      <c r="F61" s="519" t="s">
        <v>818</v>
      </c>
      <c r="G61" s="519">
        <v>25</v>
      </c>
    </row>
    <row r="62" spans="1:12" ht="18.75" customHeight="1" x14ac:dyDescent="0.25">
      <c r="A62" s="628" t="s">
        <v>67</v>
      </c>
      <c r="B62" s="41" t="s">
        <v>141</v>
      </c>
      <c r="C62" s="187">
        <f>C19-C57</f>
        <v>12.05263157894737</v>
      </c>
      <c r="D62" s="84" t="s">
        <v>4</v>
      </c>
      <c r="F62" s="519" t="s">
        <v>826</v>
      </c>
      <c r="G62" s="519">
        <v>10</v>
      </c>
    </row>
    <row r="63" spans="1:12" ht="18.75" customHeight="1" x14ac:dyDescent="0.25">
      <c r="A63" s="729" t="s">
        <v>739</v>
      </c>
      <c r="B63" s="85" t="s">
        <v>142</v>
      </c>
      <c r="C63" s="188">
        <f>C19-C57-C59</f>
        <v>-20.347368421052629</v>
      </c>
      <c r="D63" s="87" t="s">
        <v>4</v>
      </c>
      <c r="F63" s="519" t="s">
        <v>181</v>
      </c>
      <c r="G63" s="519">
        <v>10</v>
      </c>
    </row>
    <row r="64" spans="1:12" ht="18.75" customHeight="1" x14ac:dyDescent="0.25">
      <c r="B64" s="1360"/>
      <c r="C64" s="1293"/>
      <c r="D64" s="1293"/>
      <c r="F64" s="519" t="s">
        <v>188</v>
      </c>
      <c r="G64" s="519">
        <v>5</v>
      </c>
    </row>
    <row r="65" spans="1:12" ht="18.75" customHeight="1" x14ac:dyDescent="0.25">
      <c r="B65" s="657"/>
      <c r="C65" s="400"/>
      <c r="D65" s="400"/>
      <c r="F65" s="519" t="s">
        <v>182</v>
      </c>
      <c r="G65" s="519">
        <v>3</v>
      </c>
    </row>
    <row r="66" spans="1:12" ht="18.75" customHeight="1" x14ac:dyDescent="0.25">
      <c r="B66" s="657"/>
      <c r="C66" s="400"/>
      <c r="D66" s="400"/>
      <c r="I66" s="15"/>
    </row>
    <row r="67" spans="1:12" ht="19.5" customHeight="1" x14ac:dyDescent="0.25">
      <c r="B67" s="657"/>
      <c r="C67" s="400"/>
      <c r="D67" s="400"/>
      <c r="I67" s="15"/>
    </row>
    <row r="68" spans="1:12" ht="15" customHeight="1" x14ac:dyDescent="0.25">
      <c r="A68" s="91" t="s">
        <v>167</v>
      </c>
      <c r="B68" s="89"/>
      <c r="C68" s="657"/>
      <c r="I68" s="15"/>
    </row>
    <row r="69" spans="1:12" ht="39" customHeight="1" x14ac:dyDescent="0.25">
      <c r="A69" s="661" t="s">
        <v>334</v>
      </c>
      <c r="B69" s="1596" t="s">
        <v>354</v>
      </c>
      <c r="C69" s="1267"/>
      <c r="D69" s="1267"/>
    </row>
    <row r="70" spans="1:12" ht="18" customHeight="1" x14ac:dyDescent="0.25">
      <c r="A70" s="661"/>
      <c r="B70" s="88" t="s">
        <v>347</v>
      </c>
      <c r="C70" s="90" t="s">
        <v>348</v>
      </c>
    </row>
    <row r="71" spans="1:12" ht="17.25" customHeight="1" x14ac:dyDescent="0.25">
      <c r="A71" s="661"/>
      <c r="B71" s="88" t="s">
        <v>349</v>
      </c>
      <c r="C71" s="90" t="s">
        <v>350</v>
      </c>
      <c r="E71" s="80"/>
    </row>
    <row r="72" spans="1:12" ht="9" customHeight="1" x14ac:dyDescent="0.25">
      <c r="A72" s="661"/>
      <c r="B72" s="15"/>
      <c r="C72" s="15"/>
      <c r="E72" s="80"/>
      <c r="F72" s="1597" t="s">
        <v>338</v>
      </c>
    </row>
    <row r="73" spans="1:12" ht="94.5" customHeight="1" x14ac:dyDescent="0.25">
      <c r="A73" s="661" t="s">
        <v>330</v>
      </c>
      <c r="B73" s="1596" t="s">
        <v>364</v>
      </c>
      <c r="C73" s="1463"/>
      <c r="D73" s="1463"/>
      <c r="E73" s="400"/>
      <c r="F73" s="1597"/>
      <c r="G73" s="1293" t="s">
        <v>339</v>
      </c>
      <c r="J73" s="106"/>
      <c r="K73" s="519"/>
      <c r="L73" s="519"/>
    </row>
    <row r="74" spans="1:12" ht="27.75" customHeight="1" x14ac:dyDescent="0.25">
      <c r="A74" s="661"/>
      <c r="B74" s="89"/>
      <c r="C74" s="313"/>
      <c r="E74" s="659"/>
      <c r="G74" s="1293"/>
      <c r="K74" s="519"/>
      <c r="L74" s="519"/>
    </row>
    <row r="75" spans="1:12" ht="21.75" customHeight="1" x14ac:dyDescent="0.25">
      <c r="A75" s="661"/>
      <c r="B75" s="88" t="s">
        <v>335</v>
      </c>
      <c r="C75" s="313"/>
      <c r="D75" s="80" t="s">
        <v>336</v>
      </c>
    </row>
    <row r="76" spans="1:12" ht="24" customHeight="1" x14ac:dyDescent="0.25">
      <c r="A76" s="661" t="s">
        <v>168</v>
      </c>
      <c r="B76" s="88" t="s">
        <v>331</v>
      </c>
      <c r="C76" s="313"/>
      <c r="D76" s="313" t="s">
        <v>171</v>
      </c>
      <c r="G76" s="80"/>
      <c r="J76" s="80"/>
      <c r="K76" s="15"/>
      <c r="L76" s="15"/>
    </row>
    <row r="77" spans="1:12" ht="105" x14ac:dyDescent="0.25">
      <c r="A77" s="661" t="s">
        <v>169</v>
      </c>
      <c r="B77" s="88" t="s">
        <v>332</v>
      </c>
      <c r="C77" s="313"/>
      <c r="D77" s="613" t="s">
        <v>368</v>
      </c>
      <c r="G77" s="80"/>
      <c r="J77" s="80"/>
      <c r="K77" s="15"/>
      <c r="L77" s="15"/>
    </row>
    <row r="78" spans="1:12" ht="92.25" customHeight="1" x14ac:dyDescent="0.25">
      <c r="A78" s="661" t="s">
        <v>170</v>
      </c>
      <c r="B78" s="88" t="s">
        <v>333</v>
      </c>
      <c r="C78" s="313"/>
      <c r="D78" s="614" t="s">
        <v>369</v>
      </c>
      <c r="G78" s="80"/>
      <c r="J78" s="80"/>
      <c r="K78" s="15"/>
      <c r="L78" s="15"/>
    </row>
    <row r="79" spans="1:12" ht="23.25" customHeight="1" x14ac:dyDescent="0.25">
      <c r="A79" s="661" t="s">
        <v>346</v>
      </c>
      <c r="B79" s="88" t="s">
        <v>337</v>
      </c>
      <c r="C79" s="90"/>
      <c r="D79" s="15" t="s">
        <v>373</v>
      </c>
      <c r="G79" s="80"/>
      <c r="J79" s="80"/>
      <c r="K79" s="15"/>
      <c r="L79" s="15"/>
    </row>
    <row r="80" spans="1:12" ht="21.75" customHeight="1" x14ac:dyDescent="0.25">
      <c r="A80" s="41" t="s">
        <v>416</v>
      </c>
      <c r="B80" s="15" t="s">
        <v>341</v>
      </c>
      <c r="C80" s="15"/>
      <c r="G80" s="80"/>
      <c r="J80" s="80"/>
      <c r="K80" s="15"/>
      <c r="L80" s="15"/>
    </row>
    <row r="81" spans="1:13" x14ac:dyDescent="0.25">
      <c r="B81" s="15" t="s">
        <v>340</v>
      </c>
      <c r="C81" s="15"/>
    </row>
    <row r="82" spans="1:13" x14ac:dyDescent="0.25">
      <c r="B82" s="15"/>
      <c r="C82" s="15"/>
    </row>
    <row r="83" spans="1:13" ht="17.25" customHeight="1" x14ac:dyDescent="0.25">
      <c r="A83" s="661" t="s">
        <v>417</v>
      </c>
      <c r="B83" s="15" t="s">
        <v>345</v>
      </c>
      <c r="C83" s="15"/>
    </row>
    <row r="84" spans="1:13" ht="17.25" customHeight="1" x14ac:dyDescent="0.25">
      <c r="B84" s="15" t="s">
        <v>383</v>
      </c>
      <c r="C84" s="15"/>
    </row>
    <row r="85" spans="1:13" ht="17.25" customHeight="1" x14ac:dyDescent="0.25"/>
    <row r="86" spans="1:13" x14ac:dyDescent="0.25">
      <c r="A86" s="41" t="s">
        <v>451</v>
      </c>
      <c r="B86" s="88" t="s">
        <v>452</v>
      </c>
    </row>
    <row r="87" spans="1:13" x14ac:dyDescent="0.25">
      <c r="B87" s="88" t="s">
        <v>476</v>
      </c>
    </row>
    <row r="88" spans="1:13" x14ac:dyDescent="0.25">
      <c r="B88" s="118" t="s">
        <v>455</v>
      </c>
      <c r="E88"/>
      <c r="F88"/>
      <c r="G88"/>
      <c r="H88"/>
      <c r="I88"/>
      <c r="J88"/>
      <c r="K88"/>
      <c r="L88"/>
      <c r="M88"/>
    </row>
    <row r="89" spans="1:13" x14ac:dyDescent="0.25">
      <c r="B89" s="118" t="s">
        <v>453</v>
      </c>
      <c r="E89"/>
      <c r="F89"/>
      <c r="G89"/>
      <c r="H89"/>
      <c r="I89"/>
      <c r="J89"/>
      <c r="K89"/>
      <c r="L89"/>
      <c r="M89"/>
    </row>
    <row r="90" spans="1:13" x14ac:dyDescent="0.25">
      <c r="B90" s="118" t="s">
        <v>454</v>
      </c>
      <c r="E90"/>
      <c r="F90"/>
      <c r="G90"/>
      <c r="H90"/>
      <c r="I90"/>
      <c r="J90"/>
      <c r="K90"/>
      <c r="L90"/>
      <c r="M90"/>
    </row>
    <row r="91" spans="1:13" x14ac:dyDescent="0.25">
      <c r="B91" s="118" t="s">
        <v>595</v>
      </c>
      <c r="E91" s="3"/>
      <c r="F91"/>
      <c r="G91"/>
      <c r="H91"/>
      <c r="I91"/>
      <c r="J91"/>
      <c r="K91"/>
      <c r="L91"/>
      <c r="M91"/>
    </row>
    <row r="92" spans="1:13" x14ac:dyDescent="0.25">
      <c r="B92"/>
      <c r="C92"/>
      <c r="D92"/>
      <c r="E92" s="3"/>
      <c r="F92"/>
      <c r="G92"/>
      <c r="H92"/>
      <c r="I92"/>
      <c r="J92"/>
      <c r="K92"/>
      <c r="L92"/>
      <c r="M92"/>
    </row>
    <row r="93" spans="1:13" x14ac:dyDescent="0.25">
      <c r="B93"/>
      <c r="C93"/>
      <c r="D93" t="s">
        <v>456</v>
      </c>
      <c r="E93" s="3"/>
      <c r="F93"/>
      <c r="G93"/>
      <c r="H93"/>
      <c r="I93"/>
      <c r="J93"/>
      <c r="K93"/>
      <c r="L93"/>
      <c r="M93"/>
    </row>
    <row r="94" spans="1:13" x14ac:dyDescent="0.25">
      <c r="B94"/>
      <c r="C94" s="3" t="s">
        <v>149</v>
      </c>
      <c r="D94" t="s">
        <v>531</v>
      </c>
      <c r="E94" s="3" t="s">
        <v>153</v>
      </c>
      <c r="F94"/>
      <c r="G94"/>
      <c r="H94"/>
      <c r="I94"/>
      <c r="J94"/>
      <c r="K94"/>
      <c r="L94"/>
      <c r="M94"/>
    </row>
    <row r="95" spans="1:13" x14ac:dyDescent="0.25">
      <c r="B95" s="3" t="s">
        <v>147</v>
      </c>
      <c r="C95" s="3" t="s">
        <v>148</v>
      </c>
      <c r="D95" s="29" t="s">
        <v>152</v>
      </c>
      <c r="E95" s="3"/>
      <c r="F95"/>
      <c r="G95"/>
      <c r="H95"/>
      <c r="I95"/>
      <c r="J95"/>
      <c r="K95"/>
      <c r="L95"/>
      <c r="M95"/>
    </row>
    <row r="96" spans="1:13" x14ac:dyDescent="0.25">
      <c r="B96" s="3">
        <v>50</v>
      </c>
      <c r="C96" s="3">
        <v>185</v>
      </c>
      <c r="D96" s="3"/>
      <c r="E96" s="3" t="s">
        <v>150</v>
      </c>
      <c r="F96"/>
      <c r="G96"/>
      <c r="H96"/>
      <c r="I96"/>
      <c r="J96"/>
      <c r="K96"/>
      <c r="L96"/>
      <c r="M96"/>
    </row>
    <row r="97" spans="2:13" x14ac:dyDescent="0.25">
      <c r="B97" s="3">
        <v>60</v>
      </c>
      <c r="C97" s="3">
        <v>200</v>
      </c>
      <c r="D97" s="3"/>
      <c r="E97" s="3"/>
      <c r="F97"/>
      <c r="G97"/>
      <c r="H97"/>
      <c r="I97"/>
      <c r="J97"/>
      <c r="K97"/>
      <c r="L97"/>
      <c r="M97"/>
    </row>
    <row r="98" spans="2:13" x14ac:dyDescent="0.25">
      <c r="B98" s="3">
        <v>70</v>
      </c>
      <c r="C98" s="3">
        <v>215</v>
      </c>
      <c r="D98" s="3">
        <v>187</v>
      </c>
      <c r="E98" s="3" t="s">
        <v>151</v>
      </c>
      <c r="F98"/>
      <c r="G98"/>
      <c r="H98"/>
      <c r="I98"/>
      <c r="J98"/>
      <c r="K98"/>
      <c r="L98"/>
      <c r="M98"/>
    </row>
    <row r="99" spans="2:13" x14ac:dyDescent="0.25">
      <c r="B99" s="3">
        <v>80</v>
      </c>
      <c r="C99" s="3">
        <v>230</v>
      </c>
      <c r="D99" s="3"/>
      <c r="E99" s="3"/>
      <c r="F99"/>
      <c r="G99"/>
      <c r="H99"/>
      <c r="I99"/>
      <c r="J99"/>
      <c r="K99"/>
      <c r="L99"/>
      <c r="M99"/>
    </row>
    <row r="100" spans="2:13" x14ac:dyDescent="0.25">
      <c r="B100" s="3">
        <v>83</v>
      </c>
      <c r="C100" s="3"/>
      <c r="D100" s="3">
        <v>223</v>
      </c>
      <c r="E100" s="3"/>
      <c r="F100"/>
      <c r="G100"/>
      <c r="H100"/>
      <c r="I100"/>
      <c r="J100"/>
      <c r="K100"/>
      <c r="L100"/>
      <c r="M100"/>
    </row>
    <row r="101" spans="2:13" x14ac:dyDescent="0.25">
      <c r="B101" s="3">
        <v>90</v>
      </c>
      <c r="C101" s="3">
        <v>240</v>
      </c>
      <c r="D101" s="3"/>
      <c r="E101" s="3"/>
      <c r="F101"/>
      <c r="G101"/>
      <c r="H101"/>
      <c r="I101"/>
      <c r="J101"/>
      <c r="K101"/>
      <c r="L101"/>
      <c r="M101"/>
    </row>
    <row r="102" spans="2:13" x14ac:dyDescent="0.25">
      <c r="B102" s="3">
        <v>99</v>
      </c>
      <c r="C102" s="3"/>
      <c r="D102" s="3">
        <v>241</v>
      </c>
      <c r="E102" s="3"/>
      <c r="F102"/>
      <c r="G102"/>
      <c r="H102"/>
      <c r="I102"/>
      <c r="J102"/>
      <c r="K102"/>
      <c r="L102"/>
      <c r="M102"/>
    </row>
    <row r="103" spans="2:13" x14ac:dyDescent="0.25">
      <c r="B103" s="3">
        <v>100</v>
      </c>
      <c r="C103" s="3">
        <v>250</v>
      </c>
      <c r="D103" s="3"/>
      <c r="E103" s="3"/>
      <c r="F103"/>
      <c r="G103"/>
      <c r="H103"/>
      <c r="I103"/>
      <c r="J103"/>
      <c r="K103"/>
      <c r="L103"/>
      <c r="M103"/>
    </row>
    <row r="104" spans="2:13" x14ac:dyDescent="0.25">
      <c r="B104" s="3">
        <v>110</v>
      </c>
      <c r="C104" s="3">
        <v>260</v>
      </c>
      <c r="D104" s="3"/>
      <c r="E104"/>
      <c r="F104"/>
      <c r="G104"/>
      <c r="H104"/>
      <c r="I104"/>
      <c r="J104"/>
      <c r="K104"/>
      <c r="L104"/>
      <c r="M104"/>
    </row>
    <row r="105" spans="2:13" x14ac:dyDescent="0.25">
      <c r="B105" s="3"/>
      <c r="C105" s="3"/>
      <c r="D105" s="3"/>
      <c r="E105"/>
      <c r="F105"/>
      <c r="G105"/>
      <c r="H105"/>
      <c r="I105"/>
      <c r="J105"/>
      <c r="K105"/>
      <c r="L105"/>
      <c r="M105"/>
    </row>
    <row r="106" spans="2:13" x14ac:dyDescent="0.25">
      <c r="B106" s="3"/>
      <c r="C106" s="3"/>
      <c r="D106" s="3"/>
      <c r="F106"/>
      <c r="G106"/>
      <c r="H106"/>
      <c r="I106"/>
      <c r="J106"/>
      <c r="K106"/>
      <c r="L106"/>
      <c r="M106"/>
    </row>
    <row r="107" spans="2:13" x14ac:dyDescent="0.25">
      <c r="B107" s="3"/>
      <c r="C107" s="3"/>
      <c r="D107" s="3"/>
    </row>
    <row r="108" spans="2:13" x14ac:dyDescent="0.25">
      <c r="B108"/>
      <c r="C108"/>
      <c r="D108"/>
    </row>
    <row r="109" spans="2:13" x14ac:dyDescent="0.25">
      <c r="B109"/>
      <c r="C109"/>
      <c r="D109"/>
    </row>
    <row r="121" spans="2:2" x14ac:dyDescent="0.25">
      <c r="B121" s="118" t="s">
        <v>457</v>
      </c>
    </row>
  </sheetData>
  <sheetProtection sheet="1" formatCells="0" formatColumns="0" formatRows="0" selectLockedCells="1"/>
  <mergeCells count="16">
    <mergeCell ref="A30:B31"/>
    <mergeCell ref="D30:D31"/>
    <mergeCell ref="A47:A48"/>
    <mergeCell ref="A50:A51"/>
    <mergeCell ref="A5:D5"/>
    <mergeCell ref="A6:B6"/>
    <mergeCell ref="A21:B21"/>
    <mergeCell ref="A22:A26"/>
    <mergeCell ref="A27:A28"/>
    <mergeCell ref="B27:B28"/>
    <mergeCell ref="C27:D28"/>
    <mergeCell ref="B64:D64"/>
    <mergeCell ref="B69:D69"/>
    <mergeCell ref="F72:F73"/>
    <mergeCell ref="B73:D73"/>
    <mergeCell ref="G73:G74"/>
  </mergeCells>
  <dataValidations count="8">
    <dataValidation type="list" allowBlank="1" sqref="B15" xr:uid="{00000000-0002-0000-1200-000000000000}">
      <formula1>$F$21:$F$31</formula1>
    </dataValidation>
    <dataValidation type="list" allowBlank="1" sqref="B34" xr:uid="{00000000-0002-0000-1200-000001000000}">
      <formula1>I21:I27</formula1>
    </dataValidation>
    <dataValidation type="list" allowBlank="1" sqref="B37" xr:uid="{00000000-0002-0000-1200-000002000000}">
      <formula1>Witterung</formula1>
    </dataValidation>
    <dataValidation type="list" allowBlank="1" sqref="C38" xr:uid="{00000000-0002-0000-1200-000003000000}">
      <mc:AlternateContent xmlns:x12ac="http://schemas.microsoft.com/office/spreadsheetml/2011/1/ac" xmlns:mc="http://schemas.openxmlformats.org/markup-compatibility/2006">
        <mc:Choice Requires="x12ac">
          <x12ac:list>10,"10,5",11,"11,5",12,"12,5",13,"13,5",14,"14,5",15,"15,5",16</x12ac:list>
        </mc:Choice>
        <mc:Fallback>
          <formula1>"10,10,5,11,11,5,12,12,5,13,13,5,14,14,5,15,15,5,16"</formula1>
        </mc:Fallback>
      </mc:AlternateContent>
    </dataValidation>
    <dataValidation type="list" allowBlank="1" sqref="B18" xr:uid="{00000000-0002-0000-1200-000004000000}">
      <formula1>"bis 4 %, größer 4 %"</formula1>
    </dataValidation>
    <dataValidation type="list" allowBlank="1" sqref="I8:I9" xr:uid="{00000000-0002-0000-1200-000005000000}">
      <formula1>"Humusgehalt"</formula1>
    </dataValidation>
    <dataValidation type="list" allowBlank="1" showInputMessage="1" showErrorMessage="1" sqref="B11" xr:uid="{00000000-0002-0000-1200-000006000000}">
      <formula1>Qualitätsgruppe</formula1>
    </dataValidation>
    <dataValidation type="list" allowBlank="1" sqref="B16" xr:uid="{00000000-0002-0000-1200-000007000000}">
      <formula1>Vorfrucht</formula1>
    </dataValidation>
  </dataValidations>
  <pageMargins left="0.7" right="0.7" top="0.78740157499999996" bottom="0.78740157499999996" header="0.3" footer="0.3"/>
  <pageSetup paperSize="9" scale="65" orientation="portrait" horizontalDpi="4294967293" verticalDpi="4294967293"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17">
    <tabColor theme="0"/>
    <pageSetUpPr fitToPage="1"/>
  </sheetPr>
  <dimension ref="A1:K83"/>
  <sheetViews>
    <sheetView zoomScaleNormal="100" workbookViewId="0">
      <selection activeCell="C7" sqref="C7"/>
    </sheetView>
  </sheetViews>
  <sheetFormatPr baseColWidth="10" defaultRowHeight="15" x14ac:dyDescent="0.25"/>
  <cols>
    <col min="1" max="1" width="38.7109375" style="41" customWidth="1"/>
    <col min="2" max="2" width="39.7109375" style="112" customWidth="1"/>
    <col min="3" max="3" width="22.28515625" style="80" customWidth="1"/>
    <col min="4" max="4" width="31.42578125" style="15" customWidth="1"/>
    <col min="5" max="5" width="17.7109375" style="15" customWidth="1"/>
    <col min="6" max="6" width="40" style="15" customWidth="1"/>
    <col min="7" max="7" width="36" style="15" customWidth="1"/>
    <col min="8" max="8" width="21" style="80" customWidth="1"/>
    <col min="9" max="9" width="17.28515625" style="15" customWidth="1"/>
    <col min="10" max="10" width="37.85546875" style="15" customWidth="1"/>
    <col min="11" max="11" width="21" style="15" customWidth="1"/>
    <col min="12" max="16384" width="11.42578125" style="15"/>
  </cols>
  <sheetData>
    <row r="1" spans="1:11" x14ac:dyDescent="0.25">
      <c r="B1" s="112" t="str">
        <f>'DüV-N-Ackerbau (1)'!C1</f>
        <v>Testbetrieb</v>
      </c>
      <c r="C1" s="112" t="str">
        <f>'DüV-N-Ackerbau (1)'!F1</f>
        <v>Erntejahr</v>
      </c>
      <c r="E1" s="11" t="s">
        <v>36</v>
      </c>
    </row>
    <row r="2" spans="1:11" x14ac:dyDescent="0.25">
      <c r="B2" s="112">
        <f>'DüV-N-Ackerbau (1)'!C2</f>
        <v>1</v>
      </c>
      <c r="C2" s="112">
        <f>'DüV-N-Ackerbau (1)'!G1</f>
        <v>2022</v>
      </c>
      <c r="E2" s="12" t="s">
        <v>34</v>
      </c>
    </row>
    <row r="3" spans="1:11" x14ac:dyDescent="0.25">
      <c r="B3" s="112">
        <f>'DüV-N-Ackerbau (1)'!C3</f>
        <v>123456</v>
      </c>
      <c r="C3" s="41"/>
    </row>
    <row r="4" spans="1:11" ht="6" customHeight="1" thickBot="1" x14ac:dyDescent="0.3"/>
    <row r="5" spans="1:11" ht="21.75" thickBot="1" x14ac:dyDescent="0.3">
      <c r="A5" s="1604" t="s">
        <v>111</v>
      </c>
      <c r="B5" s="1605"/>
      <c r="C5" s="1605"/>
      <c r="D5" s="1606"/>
    </row>
    <row r="6" spans="1:11" ht="48" customHeight="1" thickBot="1" x14ac:dyDescent="0.3">
      <c r="A6" s="1607" t="s">
        <v>580</v>
      </c>
      <c r="B6" s="1608"/>
      <c r="C6" s="280" t="s">
        <v>579</v>
      </c>
      <c r="D6" s="346" t="s">
        <v>533</v>
      </c>
      <c r="G6" s="352"/>
      <c r="H6" s="351" t="s">
        <v>5</v>
      </c>
      <c r="I6" s="352"/>
      <c r="J6" s="352"/>
      <c r="K6" s="352"/>
    </row>
    <row r="7" spans="1:11" ht="15.75" x14ac:dyDescent="0.25">
      <c r="A7" s="59"/>
      <c r="B7" s="41" t="s">
        <v>677</v>
      </c>
      <c r="C7" s="314">
        <v>80</v>
      </c>
      <c r="D7" s="315"/>
      <c r="G7" s="351" t="s">
        <v>6</v>
      </c>
      <c r="H7" s="352"/>
      <c r="I7" s="352"/>
      <c r="J7" s="352" t="s">
        <v>159</v>
      </c>
      <c r="K7" s="352"/>
    </row>
    <row r="8" spans="1:11" ht="15.75" x14ac:dyDescent="0.25">
      <c r="A8" s="59"/>
      <c r="B8" s="41"/>
      <c r="C8" s="347" t="str">
        <f>IF(OR(C7&lt;30,C7&gt;150),"Sind Sie sicher?"," ")</f>
        <v xml:space="preserve"> </v>
      </c>
      <c r="D8" s="315"/>
      <c r="G8" s="352" t="s">
        <v>510</v>
      </c>
      <c r="H8" s="352">
        <v>0</v>
      </c>
      <c r="I8" s="352"/>
      <c r="J8" s="352" t="s">
        <v>160</v>
      </c>
      <c r="K8" s="352">
        <v>0</v>
      </c>
    </row>
    <row r="9" spans="1:11" ht="15.75" x14ac:dyDescent="0.25">
      <c r="A9" s="59"/>
      <c r="B9" s="41"/>
      <c r="C9" s="343" t="s">
        <v>4</v>
      </c>
      <c r="D9" s="315"/>
      <c r="G9" s="352" t="s">
        <v>22</v>
      </c>
      <c r="H9" s="352">
        <v>10</v>
      </c>
      <c r="I9" s="352"/>
      <c r="J9" s="352" t="s">
        <v>161</v>
      </c>
      <c r="K9" s="352">
        <v>20</v>
      </c>
    </row>
    <row r="10" spans="1:11" ht="15.75" x14ac:dyDescent="0.25">
      <c r="A10" s="59"/>
      <c r="B10" s="41" t="s">
        <v>37</v>
      </c>
      <c r="C10" s="343">
        <f>IF(C7&lt;=69,85+C7*1.5,(IF(C7&gt;=70,120+C7)))</f>
        <v>200</v>
      </c>
      <c r="D10" s="316"/>
      <c r="G10" s="352" t="s">
        <v>535</v>
      </c>
      <c r="H10" s="352">
        <v>10</v>
      </c>
      <c r="I10" s="352"/>
      <c r="J10" s="352"/>
      <c r="K10" s="352"/>
    </row>
    <row r="11" spans="1:11" ht="18" x14ac:dyDescent="0.25">
      <c r="A11" s="59"/>
      <c r="B11" s="41" t="s">
        <v>38</v>
      </c>
      <c r="C11" s="359">
        <v>20</v>
      </c>
      <c r="D11" s="316"/>
      <c r="G11" s="352" t="s">
        <v>7</v>
      </c>
      <c r="H11" s="352">
        <v>10</v>
      </c>
      <c r="I11" s="352"/>
      <c r="J11" s="351" t="s">
        <v>49</v>
      </c>
      <c r="K11" s="352"/>
    </row>
    <row r="12" spans="1:11" ht="18" x14ac:dyDescent="0.25">
      <c r="A12" s="59"/>
      <c r="B12" s="41" t="s">
        <v>39</v>
      </c>
      <c r="C12" s="359">
        <v>15</v>
      </c>
      <c r="D12" s="316"/>
      <c r="G12" s="352" t="s">
        <v>17</v>
      </c>
      <c r="H12" s="352">
        <v>20</v>
      </c>
      <c r="I12" s="352"/>
      <c r="J12" s="971" t="s">
        <v>1225</v>
      </c>
      <c r="K12" s="971">
        <v>1</v>
      </c>
    </row>
    <row r="13" spans="1:11" ht="18" x14ac:dyDescent="0.25">
      <c r="A13" s="59"/>
      <c r="B13" s="41" t="s">
        <v>40</v>
      </c>
      <c r="C13" s="359">
        <v>10</v>
      </c>
      <c r="D13" s="316"/>
      <c r="G13" s="352" t="s">
        <v>23</v>
      </c>
      <c r="H13" s="352">
        <v>0</v>
      </c>
      <c r="I13" s="352"/>
      <c r="J13" s="971" t="s">
        <v>184</v>
      </c>
      <c r="K13" s="971">
        <v>0.5</v>
      </c>
    </row>
    <row r="14" spans="1:11" x14ac:dyDescent="0.25">
      <c r="A14" s="59" t="s">
        <v>8</v>
      </c>
      <c r="B14" s="292" t="s">
        <v>31</v>
      </c>
      <c r="C14" s="128">
        <f>VLOOKUP(B14,G22:H32,2,FALSE)</f>
        <v>0</v>
      </c>
      <c r="D14" s="316"/>
      <c r="G14" s="352" t="s">
        <v>20</v>
      </c>
      <c r="H14" s="352">
        <v>20</v>
      </c>
      <c r="I14" s="352"/>
      <c r="J14" s="971" t="s">
        <v>1227</v>
      </c>
      <c r="K14" s="971">
        <v>0.6</v>
      </c>
    </row>
    <row r="15" spans="1:11" x14ac:dyDescent="0.25">
      <c r="A15" s="59" t="s">
        <v>6</v>
      </c>
      <c r="B15" s="292" t="s">
        <v>22</v>
      </c>
      <c r="C15" s="128">
        <f>VLOOKUP(B15,G8:H18,2,FALSE)</f>
        <v>10</v>
      </c>
      <c r="D15" s="316"/>
      <c r="G15" s="352" t="s">
        <v>19</v>
      </c>
      <c r="H15" s="352">
        <v>10</v>
      </c>
      <c r="I15" s="352"/>
      <c r="J15" s="971" t="s">
        <v>1228</v>
      </c>
      <c r="K15" s="971">
        <v>0.4</v>
      </c>
    </row>
    <row r="16" spans="1:11" ht="15.75" x14ac:dyDescent="0.25">
      <c r="A16" s="59" t="s">
        <v>1073</v>
      </c>
      <c r="B16" s="112" t="s">
        <v>24</v>
      </c>
      <c r="C16" s="703">
        <v>0</v>
      </c>
      <c r="D16" s="316"/>
      <c r="E16" s="358" t="str">
        <f>IF(C16&gt;25,"Sind Sie sicher?"," ")</f>
        <v xml:space="preserve"> </v>
      </c>
      <c r="G16" s="352" t="s">
        <v>536</v>
      </c>
      <c r="H16" s="352">
        <v>0</v>
      </c>
      <c r="I16" s="352"/>
      <c r="J16" s="971" t="s">
        <v>1226</v>
      </c>
      <c r="K16" s="971">
        <v>0.35</v>
      </c>
    </row>
    <row r="17" spans="1:11" ht="15.75" thickBot="1" x14ac:dyDescent="0.3">
      <c r="A17" s="59" t="s">
        <v>159</v>
      </c>
      <c r="B17" s="292" t="s">
        <v>160</v>
      </c>
      <c r="C17" s="702">
        <f>VLOOKUP(B17,J8:K9,2,FALSE)</f>
        <v>0</v>
      </c>
      <c r="D17" s="317"/>
      <c r="G17" s="352" t="s">
        <v>21</v>
      </c>
      <c r="H17" s="352">
        <v>10</v>
      </c>
      <c r="I17" s="352"/>
      <c r="J17" s="971" t="s">
        <v>48</v>
      </c>
      <c r="K17" s="971">
        <v>0.3</v>
      </c>
    </row>
    <row r="18" spans="1:11" ht="16.5" thickBot="1" x14ac:dyDescent="0.3">
      <c r="A18" s="242"/>
      <c r="B18" s="243" t="s">
        <v>475</v>
      </c>
      <c r="C18" s="239">
        <f>C10-SUM(C11:C17)</f>
        <v>145</v>
      </c>
      <c r="D18" s="244" t="s">
        <v>477</v>
      </c>
      <c r="G18" s="352" t="s">
        <v>18</v>
      </c>
      <c r="H18" s="352">
        <v>20</v>
      </c>
      <c r="I18" s="352"/>
      <c r="J18" s="971" t="s">
        <v>31</v>
      </c>
      <c r="K18" s="971">
        <v>0</v>
      </c>
    </row>
    <row r="19" spans="1:11" ht="8.25" customHeight="1" thickBot="1" x14ac:dyDescent="0.3">
      <c r="B19" s="141"/>
      <c r="C19" s="10"/>
      <c r="D19" s="252"/>
      <c r="G19" s="352"/>
      <c r="H19" s="352"/>
      <c r="I19" s="352"/>
      <c r="J19" s="352"/>
      <c r="K19" s="352"/>
    </row>
    <row r="20" spans="1:11" ht="18" customHeight="1" x14ac:dyDescent="0.25">
      <c r="A20" s="1607" t="s">
        <v>584</v>
      </c>
      <c r="B20" s="1609"/>
      <c r="C20" s="660" t="s">
        <v>593</v>
      </c>
      <c r="D20" s="444" t="s">
        <v>593</v>
      </c>
      <c r="G20" s="352"/>
      <c r="H20" s="352"/>
      <c r="I20" s="352"/>
      <c r="J20" s="352"/>
      <c r="K20" s="352"/>
    </row>
    <row r="21" spans="1:11" ht="19.5" customHeight="1" x14ac:dyDescent="0.25">
      <c r="A21" s="1610" t="s">
        <v>596</v>
      </c>
      <c r="B21" s="464" t="s">
        <v>585</v>
      </c>
      <c r="C21" s="462" t="s">
        <v>586</v>
      </c>
      <c r="D21" s="465" t="s">
        <v>587</v>
      </c>
      <c r="G21" s="351" t="s">
        <v>8</v>
      </c>
      <c r="H21" s="352"/>
      <c r="I21" s="352"/>
      <c r="J21" s="352"/>
      <c r="K21" s="352"/>
    </row>
    <row r="22" spans="1:11" ht="19.5" customHeight="1" x14ac:dyDescent="0.25">
      <c r="A22" s="1611"/>
      <c r="B22" s="442" t="s">
        <v>589</v>
      </c>
      <c r="C22" s="226">
        <f>C24*2</f>
        <v>128</v>
      </c>
      <c r="D22" s="443">
        <f>D24*2</f>
        <v>171.20000000000002</v>
      </c>
      <c r="G22" s="352" t="s">
        <v>31</v>
      </c>
      <c r="H22" s="352">
        <v>0</v>
      </c>
      <c r="I22" s="352"/>
      <c r="J22" s="351" t="s">
        <v>69</v>
      </c>
      <c r="K22" s="352"/>
    </row>
    <row r="23" spans="1:11" ht="19.5" customHeight="1" x14ac:dyDescent="0.25">
      <c r="A23" s="1611"/>
      <c r="B23" s="442" t="s">
        <v>590</v>
      </c>
      <c r="C23" s="226">
        <f>C24*1.5</f>
        <v>96</v>
      </c>
      <c r="D23" s="443">
        <f>D24*1.5</f>
        <v>128.4</v>
      </c>
      <c r="G23" s="352" t="s">
        <v>25</v>
      </c>
      <c r="H23" s="352">
        <v>0</v>
      </c>
      <c r="I23" s="352"/>
      <c r="J23" s="352" t="s">
        <v>256</v>
      </c>
      <c r="K23" s="352">
        <v>10</v>
      </c>
    </row>
    <row r="24" spans="1:11" ht="19.5" customHeight="1" x14ac:dyDescent="0.25">
      <c r="A24" s="1611"/>
      <c r="B24" s="442" t="s">
        <v>591</v>
      </c>
      <c r="C24" s="446">
        <f>C7*0.8</f>
        <v>64</v>
      </c>
      <c r="D24" s="447">
        <f>C7*1.07</f>
        <v>85.600000000000009</v>
      </c>
      <c r="G24" s="352" t="s">
        <v>26</v>
      </c>
      <c r="H24" s="352">
        <v>0</v>
      </c>
      <c r="I24" s="352"/>
      <c r="J24" s="352" t="s">
        <v>54</v>
      </c>
      <c r="K24" s="352">
        <v>0</v>
      </c>
    </row>
    <row r="25" spans="1:11" ht="19.5" customHeight="1" x14ac:dyDescent="0.25">
      <c r="A25" s="1611"/>
      <c r="B25" s="442" t="s">
        <v>592</v>
      </c>
      <c r="C25" s="226">
        <f>C24*0.5</f>
        <v>32</v>
      </c>
      <c r="D25" s="443">
        <f>D24*0.5</f>
        <v>42.800000000000004</v>
      </c>
      <c r="G25" s="352" t="s">
        <v>27</v>
      </c>
      <c r="H25" s="352">
        <v>20</v>
      </c>
      <c r="I25" s="352"/>
      <c r="J25" s="352"/>
      <c r="K25" s="352"/>
    </row>
    <row r="26" spans="1:11" ht="23.25" customHeight="1" x14ac:dyDescent="0.25">
      <c r="A26" s="1620"/>
      <c r="B26" s="1622" t="s">
        <v>594</v>
      </c>
      <c r="C26" s="1616" t="s">
        <v>597</v>
      </c>
      <c r="D26" s="1617"/>
      <c r="G26" s="352" t="s">
        <v>28</v>
      </c>
      <c r="H26" s="352">
        <v>10</v>
      </c>
      <c r="I26" s="352"/>
      <c r="J26" s="352"/>
      <c r="K26" s="352"/>
    </row>
    <row r="27" spans="1:11" ht="25.5" customHeight="1" thickBot="1" x14ac:dyDescent="0.3">
      <c r="A27" s="1621"/>
      <c r="B27" s="1623"/>
      <c r="C27" s="1618"/>
      <c r="D27" s="1619"/>
      <c r="G27" s="352" t="s">
        <v>29</v>
      </c>
      <c r="H27" s="352">
        <v>10</v>
      </c>
      <c r="I27" s="352"/>
      <c r="J27" s="352"/>
      <c r="K27" s="352"/>
    </row>
    <row r="28" spans="1:11" ht="11.25" customHeight="1" thickBot="1" x14ac:dyDescent="0.3">
      <c r="E28" s="13"/>
      <c r="G28" s="352" t="s">
        <v>681</v>
      </c>
      <c r="H28" s="352">
        <v>30</v>
      </c>
      <c r="I28" s="352"/>
      <c r="J28" s="352"/>
      <c r="K28" s="352"/>
    </row>
    <row r="29" spans="1:11" ht="15.75" x14ac:dyDescent="0.25">
      <c r="A29" s="1598" t="s">
        <v>498</v>
      </c>
      <c r="B29" s="1379"/>
      <c r="C29" s="228" t="s">
        <v>174</v>
      </c>
      <c r="D29" s="1380" t="s">
        <v>342</v>
      </c>
      <c r="G29" s="352" t="s">
        <v>30</v>
      </c>
      <c r="H29" s="352">
        <v>40</v>
      </c>
      <c r="I29" s="352"/>
      <c r="J29" s="352"/>
      <c r="K29" s="352"/>
    </row>
    <row r="30" spans="1:11" ht="15.75" customHeight="1" thickBot="1" x14ac:dyDescent="0.3">
      <c r="A30" s="1600"/>
      <c r="B30" s="1381"/>
      <c r="C30" s="229" t="s">
        <v>173</v>
      </c>
      <c r="D30" s="1346"/>
      <c r="G30" s="352" t="s">
        <v>9</v>
      </c>
      <c r="H30" s="352">
        <v>0</v>
      </c>
      <c r="I30" s="80"/>
      <c r="J30" s="80"/>
      <c r="K30" s="80"/>
    </row>
    <row r="31" spans="1:11" x14ac:dyDescent="0.25">
      <c r="A31" s="70" t="s">
        <v>35</v>
      </c>
      <c r="B31" s="295">
        <v>60</v>
      </c>
      <c r="C31" s="50">
        <f>IF(OR(B31&lt;1,B31&gt;100),"Zahl 0 bis 100 eingeben",(-0.0025*B31*B31+0.75*B31-26)*0.4)</f>
        <v>4</v>
      </c>
      <c r="D31" s="71" t="s">
        <v>163</v>
      </c>
      <c r="G31" s="352" t="s">
        <v>10</v>
      </c>
      <c r="H31" s="352">
        <v>10</v>
      </c>
    </row>
    <row r="32" spans="1:11" x14ac:dyDescent="0.25">
      <c r="A32" s="70" t="s">
        <v>162</v>
      </c>
      <c r="B32" s="295">
        <v>200</v>
      </c>
      <c r="C32" s="50">
        <f>IF(OR(B32&lt;40,B32&gt;800),"gibt es nicht",(B32*0.025-1))</f>
        <v>4</v>
      </c>
      <c r="D32" s="71" t="s">
        <v>164</v>
      </c>
      <c r="F32" s="284"/>
      <c r="G32" s="352" t="s">
        <v>31</v>
      </c>
      <c r="H32" s="352">
        <v>0</v>
      </c>
    </row>
    <row r="33" spans="1:11" x14ac:dyDescent="0.25">
      <c r="A33" s="70" t="s">
        <v>51</v>
      </c>
      <c r="B33" s="292" t="s">
        <v>31</v>
      </c>
      <c r="C33" s="56">
        <f>VLOOKUP(B33,J12:K18,2,FALSE)</f>
        <v>0</v>
      </c>
      <c r="D33" s="72" t="s">
        <v>50</v>
      </c>
      <c r="H33" s="15"/>
    </row>
    <row r="34" spans="1:11" ht="15.75" x14ac:dyDescent="0.25">
      <c r="A34" s="70" t="s">
        <v>46</v>
      </c>
      <c r="B34" s="361">
        <v>0</v>
      </c>
      <c r="C34" s="46">
        <f>B34*10*C33</f>
        <v>0</v>
      </c>
      <c r="D34" s="71" t="s">
        <v>163</v>
      </c>
      <c r="E34" s="358"/>
      <c r="H34" s="15"/>
    </row>
    <row r="35" spans="1:11" ht="15.75" x14ac:dyDescent="0.25">
      <c r="A35" s="73" t="s">
        <v>47</v>
      </c>
      <c r="B35" s="224" t="str">
        <f>IF(B34&gt;3,"Sind Sie sicher?"," ")</f>
        <v xml:space="preserve"> </v>
      </c>
      <c r="C35" s="46"/>
      <c r="D35" s="71"/>
      <c r="H35" s="15"/>
    </row>
    <row r="36" spans="1:11" ht="15.75" customHeight="1" x14ac:dyDescent="0.25">
      <c r="A36" s="70" t="s">
        <v>69</v>
      </c>
      <c r="B36" s="388" t="s">
        <v>54</v>
      </c>
      <c r="C36" s="46">
        <f>VLOOKUP(B36,J23:K24,2,FALSE)</f>
        <v>0</v>
      </c>
      <c r="D36" s="74" t="s">
        <v>70</v>
      </c>
      <c r="H36" s="15"/>
    </row>
    <row r="37" spans="1:11" ht="27" customHeight="1" x14ac:dyDescent="0.25">
      <c r="A37" s="70"/>
      <c r="B37" s="146" t="s">
        <v>355</v>
      </c>
      <c r="C37" s="318">
        <v>12</v>
      </c>
      <c r="D37" s="71" t="s">
        <v>357</v>
      </c>
      <c r="H37" s="15"/>
    </row>
    <row r="38" spans="1:11" ht="26.25" customHeight="1" thickBot="1" x14ac:dyDescent="0.3">
      <c r="A38" s="75"/>
      <c r="B38" s="76" t="s">
        <v>465</v>
      </c>
      <c r="C38" s="46"/>
      <c r="D38" s="77" t="s">
        <v>64</v>
      </c>
      <c r="G38" s="350"/>
      <c r="H38" s="352"/>
      <c r="I38" s="350"/>
      <c r="J38" s="350"/>
      <c r="K38" s="350"/>
    </row>
    <row r="39" spans="1:11" ht="22.5" customHeight="1" x14ac:dyDescent="0.25">
      <c r="A39" s="78" t="s">
        <v>61</v>
      </c>
      <c r="B39" s="42">
        <f>B42*0.35+C32*0.6</f>
        <v>75.353663999999995</v>
      </c>
      <c r="C39" s="230">
        <f>B39-C11-C12*0.33+C36</f>
        <v>50.403663999999992</v>
      </c>
      <c r="D39" s="39" t="s">
        <v>719</v>
      </c>
    </row>
    <row r="40" spans="1:11" ht="22.5" customHeight="1" x14ac:dyDescent="0.25">
      <c r="A40" s="78" t="s">
        <v>62</v>
      </c>
      <c r="B40" s="19">
        <f>B42*0.4+C32*0.4</f>
        <v>84.975615999999988</v>
      </c>
      <c r="C40" s="231">
        <f>B40-C12*0.67-C13*0.5-C14*0.4-C15*0.4-C16*0.3-C31*0.5-C34*0.4-C36</f>
        <v>63.925615999999991</v>
      </c>
      <c r="D40" s="100" t="s">
        <v>439</v>
      </c>
    </row>
    <row r="41" spans="1:11" ht="22.5" customHeight="1" thickBot="1" x14ac:dyDescent="0.3">
      <c r="A41" s="78" t="s">
        <v>63</v>
      </c>
      <c r="B41" s="19">
        <f>B42*0.25</f>
        <v>52.109759999999994</v>
      </c>
      <c r="C41" s="232">
        <f>B41-C14*0.6-C15*0.6-C16*0.35-C31*0.5-C34*0.6</f>
        <v>44.109759999999994</v>
      </c>
      <c r="D41" s="100" t="s">
        <v>166</v>
      </c>
    </row>
    <row r="42" spans="1:11" ht="27" x14ac:dyDescent="0.25">
      <c r="A42" s="66" t="s">
        <v>356</v>
      </c>
      <c r="B42" s="98">
        <f>(C56+C58)*1.24</f>
        <v>208.43903999999998</v>
      </c>
      <c r="C42" s="212">
        <f>C39+C40+C41</f>
        <v>158.43903999999998</v>
      </c>
      <c r="D42" s="189" t="str">
        <f>IF(C42&gt;C18,"Obergrenze einhalten!!!"," ")</f>
        <v>Obergrenze einhalten!!!</v>
      </c>
    </row>
    <row r="43" spans="1:11" ht="11.25" customHeight="1" x14ac:dyDescent="0.25">
      <c r="A43" s="114"/>
      <c r="B43" s="42"/>
      <c r="C43" s="10"/>
      <c r="D43" s="21"/>
    </row>
    <row r="44" spans="1:11" ht="31.5" x14ac:dyDescent="0.25">
      <c r="A44" s="302"/>
      <c r="B44" s="68"/>
      <c r="C44" s="303" t="s">
        <v>729</v>
      </c>
      <c r="D44" s="304"/>
      <c r="F44" s="519" t="s">
        <v>183</v>
      </c>
      <c r="G44" s="122" t="s">
        <v>186</v>
      </c>
    </row>
    <row r="45" spans="1:11" ht="20.25" customHeight="1" x14ac:dyDescent="0.25">
      <c r="A45" s="127"/>
      <c r="B45" s="141" t="s">
        <v>42</v>
      </c>
      <c r="C45" s="132">
        <f>C18</f>
        <v>145</v>
      </c>
      <c r="D45" s="305" t="s">
        <v>4</v>
      </c>
      <c r="F45" s="60" t="s">
        <v>179</v>
      </c>
      <c r="G45" s="60">
        <v>90</v>
      </c>
      <c r="H45" s="122"/>
      <c r="I45" s="122"/>
    </row>
    <row r="46" spans="1:11" ht="15.75" customHeight="1" x14ac:dyDescent="0.25">
      <c r="A46" s="1602" t="s">
        <v>711</v>
      </c>
      <c r="B46" s="615" t="s">
        <v>710</v>
      </c>
      <c r="C46" s="620">
        <v>0</v>
      </c>
      <c r="D46" s="618" t="s">
        <v>491</v>
      </c>
      <c r="F46" s="60" t="s">
        <v>814</v>
      </c>
      <c r="G46" s="60">
        <v>70</v>
      </c>
      <c r="H46" s="611"/>
      <c r="I46" s="611"/>
    </row>
    <row r="47" spans="1:11" ht="18" customHeight="1" x14ac:dyDescent="0.25">
      <c r="A47" s="1603"/>
      <c r="B47" s="616" t="s">
        <v>713</v>
      </c>
      <c r="C47" s="612">
        <v>0</v>
      </c>
      <c r="D47" s="309" t="s">
        <v>492</v>
      </c>
      <c r="F47" s="60" t="s">
        <v>815</v>
      </c>
      <c r="G47" s="60">
        <v>70</v>
      </c>
      <c r="H47" s="611"/>
      <c r="I47" s="611"/>
    </row>
    <row r="48" spans="1:11" ht="15.75" customHeight="1" x14ac:dyDescent="0.25">
      <c r="A48" s="664" t="s">
        <v>827</v>
      </c>
      <c r="B48" s="246" t="s">
        <v>714</v>
      </c>
      <c r="C48" s="619">
        <v>0</v>
      </c>
      <c r="D48" s="309" t="s">
        <v>260</v>
      </c>
      <c r="F48" s="60" t="s">
        <v>819</v>
      </c>
      <c r="G48" s="519">
        <v>70</v>
      </c>
      <c r="H48" s="611"/>
      <c r="I48" s="611"/>
    </row>
    <row r="49" spans="1:11" ht="15.75" customHeight="1" x14ac:dyDescent="0.25">
      <c r="A49" s="1602" t="s">
        <v>712</v>
      </c>
      <c r="B49" s="615" t="s">
        <v>715</v>
      </c>
      <c r="C49" s="612">
        <v>0</v>
      </c>
      <c r="D49" s="618" t="s">
        <v>491</v>
      </c>
      <c r="F49" s="519" t="s">
        <v>820</v>
      </c>
      <c r="G49" s="519">
        <v>60</v>
      </c>
      <c r="H49" s="611"/>
      <c r="I49" s="611"/>
    </row>
    <row r="50" spans="1:11" ht="15.75" customHeight="1" x14ac:dyDescent="0.25">
      <c r="A50" s="1603"/>
      <c r="B50" s="616" t="s">
        <v>716</v>
      </c>
      <c r="C50" s="612">
        <v>0</v>
      </c>
      <c r="D50" s="309" t="s">
        <v>492</v>
      </c>
      <c r="F50" s="60" t="s">
        <v>48</v>
      </c>
      <c r="G50" s="519">
        <v>60</v>
      </c>
      <c r="H50" s="611"/>
      <c r="I50" s="611"/>
    </row>
    <row r="51" spans="1:11" ht="15.75" x14ac:dyDescent="0.25">
      <c r="A51" s="664" t="s">
        <v>827</v>
      </c>
      <c r="B51" s="617" t="s">
        <v>717</v>
      </c>
      <c r="C51" s="612">
        <v>0</v>
      </c>
      <c r="D51" s="309" t="s">
        <v>260</v>
      </c>
      <c r="F51" s="60" t="s">
        <v>821</v>
      </c>
      <c r="G51" s="60">
        <v>45</v>
      </c>
      <c r="H51" s="611"/>
      <c r="I51" s="611"/>
    </row>
    <row r="52" spans="1:11" ht="12.75" customHeight="1" x14ac:dyDescent="0.25">
      <c r="A52" s="70"/>
      <c r="B52" s="112" t="s">
        <v>261</v>
      </c>
      <c r="C52" s="308">
        <f>(C46*C47*C48/100)+(C49*C50*C51/100)</f>
        <v>0</v>
      </c>
      <c r="D52" s="310" t="s">
        <v>4</v>
      </c>
      <c r="F52" s="519" t="s">
        <v>816</v>
      </c>
      <c r="G52" s="519">
        <v>30</v>
      </c>
      <c r="H52" s="611"/>
      <c r="I52" s="611"/>
    </row>
    <row r="53" spans="1:11" ht="15.75" x14ac:dyDescent="0.25">
      <c r="A53" s="306"/>
      <c r="B53" s="307" t="s">
        <v>136</v>
      </c>
      <c r="C53" s="308">
        <f>C45-C52</f>
        <v>145</v>
      </c>
      <c r="D53" s="311" t="s">
        <v>4</v>
      </c>
      <c r="F53" s="60" t="s">
        <v>1034</v>
      </c>
      <c r="G53" s="519">
        <v>30</v>
      </c>
      <c r="H53" s="611"/>
      <c r="I53" s="611"/>
    </row>
    <row r="54" spans="1:11" ht="15.75" x14ac:dyDescent="0.25">
      <c r="B54" s="18"/>
      <c r="C54" s="19"/>
      <c r="D54" s="20"/>
      <c r="F54" s="60" t="s">
        <v>187</v>
      </c>
      <c r="G54" s="519">
        <v>30</v>
      </c>
      <c r="H54" s="611"/>
      <c r="I54" s="611"/>
    </row>
    <row r="55" spans="1:11" ht="15.75" x14ac:dyDescent="0.25">
      <c r="A55" s="67"/>
      <c r="B55" s="68"/>
      <c r="C55" s="312" t="s">
        <v>60</v>
      </c>
      <c r="D55" s="69"/>
      <c r="E55" s="13"/>
      <c r="F55" s="60" t="s">
        <v>823</v>
      </c>
      <c r="G55" s="519">
        <v>30</v>
      </c>
      <c r="H55" s="611"/>
      <c r="I55" s="611"/>
    </row>
    <row r="56" spans="1:11" ht="15.75" x14ac:dyDescent="0.25">
      <c r="A56" s="70"/>
      <c r="B56" s="41" t="s">
        <v>12</v>
      </c>
      <c r="C56" s="185">
        <f>C7*0.86*C37/6.25</f>
        <v>132.09599999999998</v>
      </c>
      <c r="D56" s="92" t="str">
        <f>IF(C56&gt;200,"mehr als 200 kg Korn-N/ha ist unrealistisch!","Korn-N-Abfuhr")</f>
        <v>Korn-N-Abfuhr</v>
      </c>
      <c r="F56" s="60" t="s">
        <v>824</v>
      </c>
      <c r="G56" s="519">
        <v>30</v>
      </c>
      <c r="H56" s="611"/>
      <c r="I56" s="611"/>
    </row>
    <row r="57" spans="1:11" ht="15.75" x14ac:dyDescent="0.25">
      <c r="A57" s="70"/>
      <c r="B57" s="81" t="s">
        <v>14</v>
      </c>
      <c r="C57" s="186">
        <f>(130-0.5*C7)/100</f>
        <v>0.9</v>
      </c>
      <c r="D57" s="82" t="s">
        <v>344</v>
      </c>
      <c r="F57" s="60" t="s">
        <v>825</v>
      </c>
      <c r="G57" s="519">
        <v>30</v>
      </c>
      <c r="H57" s="611"/>
      <c r="I57" s="611"/>
    </row>
    <row r="58" spans="1:11" ht="15.75" x14ac:dyDescent="0.25">
      <c r="A58" s="70"/>
      <c r="B58" s="41" t="s">
        <v>13</v>
      </c>
      <c r="C58" s="50">
        <f>C7*C57*C37/24</f>
        <v>36</v>
      </c>
      <c r="D58" s="71"/>
      <c r="F58" s="60" t="s">
        <v>180</v>
      </c>
      <c r="G58" s="519">
        <v>25</v>
      </c>
      <c r="H58" s="611"/>
      <c r="I58" s="611"/>
      <c r="J58" s="80"/>
      <c r="K58" s="80"/>
    </row>
    <row r="59" spans="1:11" ht="15.75" customHeight="1" x14ac:dyDescent="0.25">
      <c r="A59" s="26" t="s">
        <v>68</v>
      </c>
      <c r="B59" s="41" t="s">
        <v>65</v>
      </c>
      <c r="C59" s="101">
        <f>C42-C56</f>
        <v>26.343040000000002</v>
      </c>
      <c r="D59" s="84" t="s">
        <v>4</v>
      </c>
      <c r="F59" s="60" t="s">
        <v>817</v>
      </c>
      <c r="G59" s="519">
        <v>25</v>
      </c>
      <c r="H59" s="611"/>
      <c r="I59" s="611"/>
    </row>
    <row r="60" spans="1:11" ht="15.75" x14ac:dyDescent="0.25">
      <c r="A60" s="629" t="s">
        <v>739</v>
      </c>
      <c r="B60" s="41" t="s">
        <v>66</v>
      </c>
      <c r="C60" s="187">
        <f>C42-C56-C58</f>
        <v>-9.656959999999998</v>
      </c>
      <c r="D60" s="84" t="s">
        <v>4</v>
      </c>
      <c r="F60" s="519" t="s">
        <v>818</v>
      </c>
      <c r="G60" s="519">
        <v>25</v>
      </c>
    </row>
    <row r="61" spans="1:11" ht="15.75" x14ac:dyDescent="0.25">
      <c r="A61" s="628" t="s">
        <v>67</v>
      </c>
      <c r="B61" s="41" t="s">
        <v>65</v>
      </c>
      <c r="C61" s="187">
        <f>C18-C56</f>
        <v>12.904000000000025</v>
      </c>
      <c r="D61" s="84" t="s">
        <v>4</v>
      </c>
      <c r="F61" s="519" t="s">
        <v>826</v>
      </c>
      <c r="G61" s="519">
        <v>10</v>
      </c>
    </row>
    <row r="62" spans="1:11" ht="15.75" x14ac:dyDescent="0.25">
      <c r="A62" s="729" t="s">
        <v>739</v>
      </c>
      <c r="B62" s="85" t="s">
        <v>66</v>
      </c>
      <c r="C62" s="188">
        <f>C18-C56-C58</f>
        <v>-23.095999999999975</v>
      </c>
      <c r="D62" s="87" t="s">
        <v>4</v>
      </c>
      <c r="F62" s="519" t="s">
        <v>181</v>
      </c>
      <c r="G62" s="519">
        <v>10</v>
      </c>
    </row>
    <row r="63" spans="1:11" ht="15.75" x14ac:dyDescent="0.25">
      <c r="B63" s="1360"/>
      <c r="C63" s="1293"/>
      <c r="D63" s="1293"/>
      <c r="F63" s="519" t="s">
        <v>188</v>
      </c>
      <c r="G63" s="519">
        <v>5</v>
      </c>
    </row>
    <row r="64" spans="1:11" ht="18.75" customHeight="1" x14ac:dyDescent="0.25">
      <c r="B64" s="657"/>
      <c r="C64" s="400"/>
      <c r="D64" s="400"/>
      <c r="F64" s="519" t="s">
        <v>182</v>
      </c>
      <c r="G64" s="519">
        <v>3</v>
      </c>
    </row>
    <row r="65" spans="1:8" x14ac:dyDescent="0.25">
      <c r="B65" s="657"/>
      <c r="C65" s="400"/>
      <c r="D65" s="400"/>
    </row>
    <row r="66" spans="1:8" ht="23.25" customHeight="1" x14ac:dyDescent="0.25">
      <c r="B66" s="657"/>
      <c r="C66" s="400"/>
      <c r="D66" s="400"/>
    </row>
    <row r="67" spans="1:8" ht="17.25" customHeight="1" x14ac:dyDescent="0.25">
      <c r="A67" s="91" t="s">
        <v>167</v>
      </c>
      <c r="B67" s="89"/>
      <c r="C67" s="313"/>
    </row>
    <row r="68" spans="1:8" ht="48.75" customHeight="1" x14ac:dyDescent="0.25">
      <c r="A68" s="661" t="s">
        <v>334</v>
      </c>
      <c r="B68" s="1596" t="s">
        <v>358</v>
      </c>
      <c r="C68" s="1267"/>
      <c r="D68" s="1267"/>
    </row>
    <row r="69" spans="1:8" ht="18" customHeight="1" x14ac:dyDescent="0.25">
      <c r="A69" s="661"/>
      <c r="B69" s="88" t="s">
        <v>359</v>
      </c>
      <c r="C69" s="90" t="s">
        <v>360</v>
      </c>
    </row>
    <row r="70" spans="1:8" ht="24" customHeight="1" x14ac:dyDescent="0.25">
      <c r="A70" s="661"/>
      <c r="B70" s="88" t="s">
        <v>361</v>
      </c>
      <c r="C70" s="90" t="s">
        <v>362</v>
      </c>
      <c r="E70" s="80"/>
    </row>
    <row r="71" spans="1:8" ht="15" customHeight="1" x14ac:dyDescent="0.25">
      <c r="A71" s="661"/>
      <c r="B71" s="15"/>
      <c r="C71" s="15"/>
      <c r="E71" s="80"/>
      <c r="F71" s="1597" t="s">
        <v>371</v>
      </c>
    </row>
    <row r="72" spans="1:8" ht="95.25" customHeight="1" x14ac:dyDescent="0.25">
      <c r="A72" s="661" t="s">
        <v>330</v>
      </c>
      <c r="B72" s="1596" t="s">
        <v>363</v>
      </c>
      <c r="C72" s="1463"/>
      <c r="D72" s="1463"/>
      <c r="E72" s="400"/>
      <c r="F72" s="1597"/>
      <c r="G72" s="1293" t="s">
        <v>339</v>
      </c>
    </row>
    <row r="73" spans="1:8" ht="17.25" customHeight="1" x14ac:dyDescent="0.25">
      <c r="A73" s="661"/>
      <c r="B73" s="89"/>
      <c r="C73" s="313"/>
      <c r="E73" s="659"/>
      <c r="G73" s="1293"/>
    </row>
    <row r="74" spans="1:8" ht="28.5" customHeight="1" x14ac:dyDescent="0.25">
      <c r="A74" s="661"/>
      <c r="B74" s="88" t="s">
        <v>335</v>
      </c>
      <c r="C74" s="313"/>
      <c r="D74" s="80" t="s">
        <v>336</v>
      </c>
    </row>
    <row r="75" spans="1:8" ht="26.25" customHeight="1" x14ac:dyDescent="0.25">
      <c r="A75" s="661" t="s">
        <v>168</v>
      </c>
      <c r="B75" s="88" t="s">
        <v>343</v>
      </c>
      <c r="C75" s="313"/>
      <c r="D75" s="313" t="s">
        <v>175</v>
      </c>
      <c r="F75" s="80"/>
      <c r="H75" s="15"/>
    </row>
    <row r="76" spans="1:8" ht="90" customHeight="1" x14ac:dyDescent="0.25">
      <c r="A76" s="661" t="s">
        <v>169</v>
      </c>
      <c r="B76" s="88" t="s">
        <v>332</v>
      </c>
      <c r="C76" s="313"/>
      <c r="D76" s="613" t="s">
        <v>370</v>
      </c>
      <c r="F76" s="80"/>
      <c r="H76" s="15"/>
    </row>
    <row r="77" spans="1:8" ht="76.5" customHeight="1" x14ac:dyDescent="0.25">
      <c r="A77" s="661" t="s">
        <v>170</v>
      </c>
      <c r="B77" s="88" t="s">
        <v>176</v>
      </c>
      <c r="C77" s="313"/>
      <c r="D77" s="614" t="s">
        <v>725</v>
      </c>
      <c r="F77" s="80"/>
      <c r="H77" s="15"/>
    </row>
    <row r="78" spans="1:8" ht="19.5" customHeight="1" x14ac:dyDescent="0.25">
      <c r="A78" s="661" t="s">
        <v>346</v>
      </c>
      <c r="B78" s="88" t="s">
        <v>337</v>
      </c>
      <c r="C78" s="90"/>
      <c r="D78" s="15" t="s">
        <v>373</v>
      </c>
      <c r="F78" s="80"/>
      <c r="H78" s="15"/>
    </row>
    <row r="79" spans="1:8" ht="23.25" customHeight="1" x14ac:dyDescent="0.25">
      <c r="A79" s="41" t="s">
        <v>416</v>
      </c>
      <c r="B79" s="15" t="s">
        <v>341</v>
      </c>
      <c r="C79" s="15"/>
      <c r="F79" s="80"/>
      <c r="H79" s="15"/>
    </row>
    <row r="80" spans="1:8" x14ac:dyDescent="0.25">
      <c r="B80" s="15" t="s">
        <v>340</v>
      </c>
      <c r="C80" s="15"/>
    </row>
    <row r="81" spans="1:3" x14ac:dyDescent="0.25">
      <c r="B81" s="15"/>
      <c r="C81" s="15"/>
    </row>
    <row r="82" spans="1:3" x14ac:dyDescent="0.25">
      <c r="A82" s="661" t="s">
        <v>417</v>
      </c>
      <c r="B82" s="15" t="s">
        <v>345</v>
      </c>
      <c r="C82" s="15"/>
    </row>
    <row r="83" spans="1:3" x14ac:dyDescent="0.25">
      <c r="B83" s="15" t="s">
        <v>382</v>
      </c>
      <c r="C83" s="15"/>
    </row>
  </sheetData>
  <sheetProtection sheet="1" formatCells="0" formatColumns="0" formatRows="0" selectLockedCells="1"/>
  <mergeCells count="16">
    <mergeCell ref="A49:A50"/>
    <mergeCell ref="A29:B30"/>
    <mergeCell ref="D29:D30"/>
    <mergeCell ref="A46:A47"/>
    <mergeCell ref="A5:D5"/>
    <mergeCell ref="A6:B6"/>
    <mergeCell ref="A20:B20"/>
    <mergeCell ref="A21:A25"/>
    <mergeCell ref="A26:A27"/>
    <mergeCell ref="B26:B27"/>
    <mergeCell ref="C26:D27"/>
    <mergeCell ref="B63:D63"/>
    <mergeCell ref="B68:D68"/>
    <mergeCell ref="F71:F72"/>
    <mergeCell ref="B72:D72"/>
    <mergeCell ref="G72:G73"/>
  </mergeCells>
  <dataValidations count="7">
    <dataValidation type="list" allowBlank="1" sqref="B14" xr:uid="{00000000-0002-0000-1300-000000000000}">
      <formula1>$G$22:$G$32</formula1>
    </dataValidation>
    <dataValidation type="list" allowBlank="1" sqref="B36" xr:uid="{00000000-0002-0000-1300-000001000000}">
      <formula1>Witterung</formula1>
    </dataValidation>
    <dataValidation type="list" allowBlank="1" sqref="B33" xr:uid="{00000000-0002-0000-1300-000002000000}">
      <formula1>J12:J18</formula1>
    </dataValidation>
    <dataValidation type="list" allowBlank="1" sqref="C37" xr:uid="{00000000-0002-0000-1300-000003000000}">
      <mc:AlternateContent xmlns:x12ac="http://schemas.microsoft.com/office/spreadsheetml/2011/1/ac" xmlns:mc="http://schemas.openxmlformats.org/markup-compatibility/2006">
        <mc:Choice Requires="x12ac">
          <x12ac:list>8,"8,5",9,"9,5",10,"10,5",11,"11,5",12,"12,5",13,"13,5",14,"14,5"</x12ac:list>
        </mc:Choice>
        <mc:Fallback>
          <formula1>"8,8,5,9,9,5,10,10,5,11,11,5,12,12,5,13,13,5,14,14,5"</formula1>
        </mc:Fallback>
      </mc:AlternateContent>
    </dataValidation>
    <dataValidation type="list" allowBlank="1" sqref="B17" xr:uid="{00000000-0002-0000-1300-000004000000}">
      <formula1>"bis 4 %, größer 4 %"</formula1>
    </dataValidation>
    <dataValidation type="list" allowBlank="1" sqref="J8:J9" xr:uid="{00000000-0002-0000-1300-000005000000}">
      <formula1>"Humusgehalt"</formula1>
    </dataValidation>
    <dataValidation type="list" allowBlank="1" sqref="B15" xr:uid="{00000000-0002-0000-1300-000006000000}">
      <formula1>Vorfrucht</formula1>
    </dataValidation>
  </dataValidations>
  <pageMargins left="0.7" right="0.7" top="0.78740157499999996" bottom="0.78740157499999996" header="0.3" footer="0.3"/>
  <pageSetup paperSize="9" scale="69" orientation="portrait" horizontalDpi="4294967293" verticalDpi="4294967293" r:id="rId1"/>
  <rowBreaks count="1" manualBreakCount="1">
    <brk id="62" max="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19">
    <tabColor theme="0"/>
    <pageSetUpPr fitToPage="1"/>
  </sheetPr>
  <dimension ref="A1:K83"/>
  <sheetViews>
    <sheetView zoomScaleNormal="100" workbookViewId="0">
      <selection activeCell="C7" sqref="C7"/>
    </sheetView>
  </sheetViews>
  <sheetFormatPr baseColWidth="10" defaultRowHeight="15" x14ac:dyDescent="0.25"/>
  <cols>
    <col min="1" max="1" width="37.28515625" style="41" customWidth="1"/>
    <col min="2" max="2" width="39.42578125" style="112" customWidth="1"/>
    <col min="3" max="3" width="22.28515625" style="80" customWidth="1"/>
    <col min="4" max="4" width="31.85546875" style="15" customWidth="1"/>
    <col min="5" max="5" width="22.140625" style="15" customWidth="1"/>
    <col min="6" max="6" width="38.140625" style="15" customWidth="1"/>
    <col min="7" max="7" width="33.5703125" style="15" customWidth="1"/>
    <col min="8" max="8" width="24" style="80" customWidth="1"/>
    <col min="9" max="9" width="22.7109375" style="15" customWidth="1"/>
    <col min="10" max="10" width="37.85546875" style="15" customWidth="1"/>
    <col min="11" max="11" width="21" style="15" customWidth="1"/>
    <col min="12" max="16384" width="11.42578125" style="15"/>
  </cols>
  <sheetData>
    <row r="1" spans="1:11" x14ac:dyDescent="0.25">
      <c r="B1" s="112" t="str">
        <f>'DüV-N-Ackerbau (1)'!C1</f>
        <v>Testbetrieb</v>
      </c>
      <c r="C1" s="112" t="str">
        <f>'DüV-N-Ackerbau (1)'!F1</f>
        <v>Erntejahr</v>
      </c>
      <c r="E1" s="11" t="s">
        <v>36</v>
      </c>
    </row>
    <row r="2" spans="1:11" x14ac:dyDescent="0.25">
      <c r="B2" s="112">
        <f>'DüV-N-Ackerbau (1)'!C2</f>
        <v>1</v>
      </c>
      <c r="C2" s="112">
        <f>'DüV-N-Ackerbau (1)'!G1</f>
        <v>2022</v>
      </c>
      <c r="E2" s="12" t="s">
        <v>34</v>
      </c>
    </row>
    <row r="3" spans="1:11" x14ac:dyDescent="0.25">
      <c r="B3" s="112">
        <f>'DüV-N-Ackerbau (1)'!C3</f>
        <v>123456</v>
      </c>
      <c r="C3" s="41"/>
    </row>
    <row r="4" spans="1:11" ht="6" customHeight="1" thickBot="1" x14ac:dyDescent="0.3"/>
    <row r="5" spans="1:11" ht="21.75" thickBot="1" x14ac:dyDescent="0.3">
      <c r="A5" s="1604" t="s">
        <v>96</v>
      </c>
      <c r="B5" s="1605"/>
      <c r="C5" s="1605"/>
      <c r="D5" s="1606"/>
    </row>
    <row r="6" spans="1:11" ht="48" thickBot="1" x14ac:dyDescent="0.3">
      <c r="A6" s="1607" t="s">
        <v>580</v>
      </c>
      <c r="B6" s="1608"/>
      <c r="C6" s="280" t="s">
        <v>579</v>
      </c>
      <c r="D6" s="346" t="s">
        <v>533</v>
      </c>
      <c r="G6" s="352"/>
      <c r="H6" s="351" t="s">
        <v>5</v>
      </c>
      <c r="I6" s="352"/>
      <c r="J6" s="352"/>
      <c r="K6" s="352"/>
    </row>
    <row r="7" spans="1:11" ht="15.75" x14ac:dyDescent="0.25">
      <c r="A7" s="59"/>
      <c r="B7" s="41" t="s">
        <v>677</v>
      </c>
      <c r="C7" s="314">
        <v>70</v>
      </c>
      <c r="D7" s="315"/>
      <c r="G7" s="351" t="s">
        <v>6</v>
      </c>
      <c r="H7" s="352"/>
      <c r="I7" s="352"/>
      <c r="J7" s="352" t="s">
        <v>159</v>
      </c>
      <c r="K7" s="352"/>
    </row>
    <row r="8" spans="1:11" ht="15.75" x14ac:dyDescent="0.25">
      <c r="A8" s="59"/>
      <c r="B8" s="41"/>
      <c r="C8" s="347" t="str">
        <f>IF(OR(C7&lt;30,C7&gt;150),"Sind Sie sicher?"," ")</f>
        <v xml:space="preserve"> </v>
      </c>
      <c r="D8" s="315"/>
      <c r="G8" s="352" t="s">
        <v>510</v>
      </c>
      <c r="H8" s="352">
        <v>0</v>
      </c>
      <c r="I8" s="352"/>
      <c r="J8" s="352" t="s">
        <v>160</v>
      </c>
      <c r="K8" s="352">
        <v>0</v>
      </c>
    </row>
    <row r="9" spans="1:11" ht="15.75" x14ac:dyDescent="0.25">
      <c r="A9" s="59"/>
      <c r="B9" s="41"/>
      <c r="C9" s="343" t="s">
        <v>4</v>
      </c>
      <c r="D9" s="315"/>
      <c r="G9" s="352" t="s">
        <v>22</v>
      </c>
      <c r="H9" s="352">
        <v>10</v>
      </c>
      <c r="I9" s="352"/>
      <c r="J9" s="352" t="s">
        <v>161</v>
      </c>
      <c r="K9" s="352">
        <v>20</v>
      </c>
    </row>
    <row r="10" spans="1:11" ht="15.75" x14ac:dyDescent="0.25">
      <c r="A10" s="59"/>
      <c r="B10" s="41" t="s">
        <v>37</v>
      </c>
      <c r="C10" s="345">
        <f>IF(C7&lt;=69,65+C7*1.5,(IF(C7&gt;=70,100+C7)))</f>
        <v>170</v>
      </c>
      <c r="D10" s="316"/>
      <c r="G10" s="352" t="s">
        <v>535</v>
      </c>
      <c r="H10" s="352">
        <v>10</v>
      </c>
      <c r="I10" s="352"/>
      <c r="J10" s="352"/>
      <c r="K10" s="352"/>
    </row>
    <row r="11" spans="1:11" ht="18" x14ac:dyDescent="0.25">
      <c r="A11" s="59"/>
      <c r="B11" s="41" t="s">
        <v>38</v>
      </c>
      <c r="C11" s="359">
        <v>18</v>
      </c>
      <c r="D11" s="316"/>
      <c r="G11" s="352" t="s">
        <v>7</v>
      </c>
      <c r="H11" s="352">
        <v>10</v>
      </c>
      <c r="I11" s="352"/>
      <c r="J11" s="351" t="s">
        <v>49</v>
      </c>
      <c r="K11" s="352"/>
    </row>
    <row r="12" spans="1:11" ht="18" x14ac:dyDescent="0.25">
      <c r="A12" s="59"/>
      <c r="B12" s="41" t="s">
        <v>39</v>
      </c>
      <c r="C12" s="359">
        <v>14</v>
      </c>
      <c r="D12" s="316"/>
      <c r="G12" s="352" t="s">
        <v>17</v>
      </c>
      <c r="H12" s="352">
        <v>20</v>
      </c>
      <c r="I12" s="352"/>
      <c r="J12" s="971" t="s">
        <v>1225</v>
      </c>
      <c r="K12" s="971">
        <v>1</v>
      </c>
    </row>
    <row r="13" spans="1:11" ht="18" x14ac:dyDescent="0.25">
      <c r="A13" s="59"/>
      <c r="B13" s="41" t="s">
        <v>40</v>
      </c>
      <c r="C13" s="359">
        <v>8</v>
      </c>
      <c r="D13" s="316"/>
      <c r="G13" s="352" t="s">
        <v>23</v>
      </c>
      <c r="H13" s="352">
        <v>0</v>
      </c>
      <c r="I13" s="352"/>
      <c r="J13" s="971" t="s">
        <v>184</v>
      </c>
      <c r="K13" s="971">
        <v>0.5</v>
      </c>
    </row>
    <row r="14" spans="1:11" x14ac:dyDescent="0.25">
      <c r="A14" s="59" t="s">
        <v>8</v>
      </c>
      <c r="B14" s="292" t="s">
        <v>31</v>
      </c>
      <c r="C14" s="128">
        <f>VLOOKUP(B14,G22:H32,2,FALSE)</f>
        <v>0</v>
      </c>
      <c r="D14" s="316"/>
      <c r="G14" s="352" t="s">
        <v>20</v>
      </c>
      <c r="H14" s="352">
        <v>20</v>
      </c>
      <c r="I14" s="352"/>
      <c r="J14" s="971" t="s">
        <v>1227</v>
      </c>
      <c r="K14" s="971">
        <v>0.6</v>
      </c>
    </row>
    <row r="15" spans="1:11" x14ac:dyDescent="0.25">
      <c r="A15" s="59" t="s">
        <v>6</v>
      </c>
      <c r="B15" s="292" t="s">
        <v>510</v>
      </c>
      <c r="C15" s="128">
        <f>VLOOKUP(B15,G8:H18,2,FALSE)</f>
        <v>0</v>
      </c>
      <c r="D15" s="316"/>
      <c r="G15" s="352" t="s">
        <v>19</v>
      </c>
      <c r="H15" s="352">
        <v>10</v>
      </c>
      <c r="I15" s="352"/>
      <c r="J15" s="971" t="s">
        <v>1228</v>
      </c>
      <c r="K15" s="971">
        <v>0.4</v>
      </c>
    </row>
    <row r="16" spans="1:11" ht="15.75" x14ac:dyDescent="0.25">
      <c r="A16" s="59" t="s">
        <v>1073</v>
      </c>
      <c r="B16" s="112" t="s">
        <v>24</v>
      </c>
      <c r="C16" s="703"/>
      <c r="D16" s="316"/>
      <c r="E16" s="358" t="str">
        <f>IF(C16&gt;25,"Sind Sie sicher?"," ")</f>
        <v xml:space="preserve"> </v>
      </c>
      <c r="G16" s="352" t="s">
        <v>536</v>
      </c>
      <c r="H16" s="352">
        <v>0</v>
      </c>
      <c r="I16" s="352"/>
      <c r="J16" s="971" t="s">
        <v>1226</v>
      </c>
      <c r="K16" s="971">
        <v>0.35</v>
      </c>
    </row>
    <row r="17" spans="1:11" ht="15.75" thickBot="1" x14ac:dyDescent="0.3">
      <c r="A17" s="59" t="s">
        <v>159</v>
      </c>
      <c r="B17" s="292" t="s">
        <v>160</v>
      </c>
      <c r="C17" s="702">
        <f>VLOOKUP(B17,J8:K9,2,FALSE)</f>
        <v>0</v>
      </c>
      <c r="D17" s="317"/>
      <c r="G17" s="352" t="s">
        <v>21</v>
      </c>
      <c r="H17" s="352">
        <v>10</v>
      </c>
      <c r="I17" s="352"/>
      <c r="J17" s="971" t="s">
        <v>48</v>
      </c>
      <c r="K17" s="971">
        <v>0.3</v>
      </c>
    </row>
    <row r="18" spans="1:11" ht="16.5" thickBot="1" x14ac:dyDescent="0.3">
      <c r="A18" s="242"/>
      <c r="B18" s="243" t="s">
        <v>475</v>
      </c>
      <c r="C18" s="239">
        <f>C10-SUM(C11:C17)</f>
        <v>130</v>
      </c>
      <c r="D18" s="244" t="s">
        <v>477</v>
      </c>
      <c r="G18" s="352" t="s">
        <v>18</v>
      </c>
      <c r="H18" s="352">
        <v>20</v>
      </c>
      <c r="I18" s="352"/>
      <c r="J18" s="971" t="s">
        <v>31</v>
      </c>
      <c r="K18" s="971">
        <v>0</v>
      </c>
    </row>
    <row r="19" spans="1:11" ht="11.25" customHeight="1" thickBot="1" x14ac:dyDescent="0.3">
      <c r="B19" s="141"/>
      <c r="C19" s="10"/>
      <c r="D19" s="252"/>
      <c r="G19" s="352"/>
      <c r="H19" s="352"/>
      <c r="I19" s="352"/>
      <c r="J19" s="352"/>
      <c r="K19" s="352"/>
    </row>
    <row r="20" spans="1:11" ht="18" customHeight="1" x14ac:dyDescent="0.25">
      <c r="A20" s="1607" t="s">
        <v>584</v>
      </c>
      <c r="B20" s="1609"/>
      <c r="C20" s="660" t="s">
        <v>593</v>
      </c>
      <c r="D20" s="444" t="s">
        <v>593</v>
      </c>
      <c r="G20" s="352"/>
      <c r="H20" s="352"/>
      <c r="I20" s="352"/>
      <c r="J20" s="352"/>
      <c r="K20" s="352"/>
    </row>
    <row r="21" spans="1:11" ht="19.5" customHeight="1" x14ac:dyDescent="0.25">
      <c r="A21" s="1610" t="s">
        <v>596</v>
      </c>
      <c r="B21" s="466" t="s">
        <v>585</v>
      </c>
      <c r="C21" s="462" t="s">
        <v>586</v>
      </c>
      <c r="D21" s="465" t="s">
        <v>587</v>
      </c>
      <c r="G21" s="351" t="s">
        <v>8</v>
      </c>
      <c r="H21" s="352"/>
      <c r="I21" s="352"/>
      <c r="J21" s="352"/>
      <c r="K21" s="352"/>
    </row>
    <row r="22" spans="1:11" ht="19.5" customHeight="1" x14ac:dyDescent="0.25">
      <c r="A22" s="1611"/>
      <c r="B22" s="442" t="s">
        <v>589</v>
      </c>
      <c r="C22" s="226">
        <f>C24*2</f>
        <v>112</v>
      </c>
      <c r="D22" s="443">
        <f>D24*2</f>
        <v>149.80000000000001</v>
      </c>
      <c r="G22" s="352" t="s">
        <v>31</v>
      </c>
      <c r="H22" s="352">
        <v>0</v>
      </c>
      <c r="I22" s="352"/>
      <c r="J22" s="351" t="s">
        <v>69</v>
      </c>
      <c r="K22" s="352"/>
    </row>
    <row r="23" spans="1:11" ht="19.5" customHeight="1" x14ac:dyDescent="0.25">
      <c r="A23" s="1611"/>
      <c r="B23" s="442" t="s">
        <v>590</v>
      </c>
      <c r="C23" s="226">
        <f>C24*1.5</f>
        <v>84</v>
      </c>
      <c r="D23" s="443">
        <f>D24*1.5</f>
        <v>112.35000000000001</v>
      </c>
      <c r="G23" s="352" t="s">
        <v>25</v>
      </c>
      <c r="H23" s="352">
        <v>0</v>
      </c>
      <c r="I23" s="352"/>
      <c r="J23" s="352" t="s">
        <v>256</v>
      </c>
      <c r="K23" s="352">
        <v>10</v>
      </c>
    </row>
    <row r="24" spans="1:11" ht="19.5" customHeight="1" x14ac:dyDescent="0.25">
      <c r="A24" s="1611"/>
      <c r="B24" s="442" t="s">
        <v>591</v>
      </c>
      <c r="C24" s="446">
        <f>C7*0.8</f>
        <v>56</v>
      </c>
      <c r="D24" s="447">
        <f>C7*1.07</f>
        <v>74.900000000000006</v>
      </c>
      <c r="G24" s="352" t="s">
        <v>26</v>
      </c>
      <c r="H24" s="352">
        <v>0</v>
      </c>
      <c r="I24" s="352"/>
      <c r="J24" s="352" t="s">
        <v>54</v>
      </c>
      <c r="K24" s="352">
        <v>0</v>
      </c>
    </row>
    <row r="25" spans="1:11" ht="19.5" customHeight="1" x14ac:dyDescent="0.25">
      <c r="A25" s="1611"/>
      <c r="B25" s="442" t="s">
        <v>592</v>
      </c>
      <c r="C25" s="226">
        <f>C24*0.5</f>
        <v>28</v>
      </c>
      <c r="D25" s="443">
        <f>D24*0.5</f>
        <v>37.450000000000003</v>
      </c>
      <c r="G25" s="352" t="s">
        <v>27</v>
      </c>
      <c r="H25" s="352">
        <v>20</v>
      </c>
      <c r="I25" s="352"/>
      <c r="J25" s="352"/>
      <c r="K25" s="352"/>
    </row>
    <row r="26" spans="1:11" ht="28.5" customHeight="1" x14ac:dyDescent="0.25">
      <c r="A26" s="1620"/>
      <c r="B26" s="1622" t="s">
        <v>594</v>
      </c>
      <c r="C26" s="1616" t="s">
        <v>597</v>
      </c>
      <c r="D26" s="1617"/>
      <c r="G26" s="352" t="s">
        <v>28</v>
      </c>
      <c r="H26" s="352">
        <v>10</v>
      </c>
      <c r="I26" s="352"/>
      <c r="J26" s="352"/>
      <c r="K26" s="352"/>
    </row>
    <row r="27" spans="1:11" ht="24" customHeight="1" thickBot="1" x14ac:dyDescent="0.3">
      <c r="A27" s="1621"/>
      <c r="B27" s="1623"/>
      <c r="C27" s="1618"/>
      <c r="D27" s="1619"/>
      <c r="G27" s="352" t="s">
        <v>29</v>
      </c>
      <c r="H27" s="352">
        <v>10</v>
      </c>
      <c r="I27" s="352"/>
      <c r="J27" s="352"/>
      <c r="K27" s="352"/>
    </row>
    <row r="28" spans="1:11" ht="11.25" customHeight="1" thickBot="1" x14ac:dyDescent="0.3">
      <c r="E28" s="13"/>
      <c r="G28" s="352" t="s">
        <v>681</v>
      </c>
      <c r="H28" s="352">
        <v>30</v>
      </c>
      <c r="I28" s="352"/>
      <c r="J28" s="352"/>
      <c r="K28" s="352"/>
    </row>
    <row r="29" spans="1:11" ht="15.75" x14ac:dyDescent="0.25">
      <c r="A29" s="1598" t="s">
        <v>498</v>
      </c>
      <c r="B29" s="1379"/>
      <c r="C29" s="228" t="s">
        <v>174</v>
      </c>
      <c r="D29" s="1380" t="s">
        <v>342</v>
      </c>
      <c r="G29" s="352" t="s">
        <v>30</v>
      </c>
      <c r="H29" s="352">
        <v>40</v>
      </c>
      <c r="I29" s="352"/>
      <c r="J29" s="352"/>
      <c r="K29" s="352"/>
    </row>
    <row r="30" spans="1:11" ht="15.75" customHeight="1" thickBot="1" x14ac:dyDescent="0.3">
      <c r="A30" s="1600"/>
      <c r="B30" s="1381"/>
      <c r="C30" s="229" t="s">
        <v>173</v>
      </c>
      <c r="D30" s="1346"/>
      <c r="G30" s="352" t="s">
        <v>9</v>
      </c>
      <c r="H30" s="352">
        <v>0</v>
      </c>
      <c r="I30" s="352"/>
      <c r="J30" s="352"/>
      <c r="K30" s="352"/>
    </row>
    <row r="31" spans="1:11" x14ac:dyDescent="0.25">
      <c r="A31" s="70" t="s">
        <v>35</v>
      </c>
      <c r="B31" s="295">
        <v>60</v>
      </c>
      <c r="C31" s="50">
        <f>IF(OR(B31&lt;1,B31&gt;100),"Zahl 0 bis 100 eingeben",(-0.0025*B31*B31+0.75*B31-26)*0.4)</f>
        <v>4</v>
      </c>
      <c r="D31" s="71" t="s">
        <v>163</v>
      </c>
      <c r="G31" s="352" t="s">
        <v>10</v>
      </c>
      <c r="H31" s="352">
        <v>10</v>
      </c>
      <c r="I31" s="80"/>
      <c r="J31" s="80"/>
      <c r="K31" s="80"/>
    </row>
    <row r="32" spans="1:11" x14ac:dyDescent="0.25">
      <c r="A32" s="70" t="s">
        <v>162</v>
      </c>
      <c r="B32" s="295">
        <v>200</v>
      </c>
      <c r="C32" s="50">
        <f>IF(OR(B32&lt;40,B32&gt;800),"gibt es nicht",(B32*0.025-1))</f>
        <v>4</v>
      </c>
      <c r="D32" s="71" t="s">
        <v>164</v>
      </c>
      <c r="F32" s="284"/>
      <c r="G32" s="352" t="s">
        <v>31</v>
      </c>
      <c r="H32" s="352">
        <v>0</v>
      </c>
      <c r="I32" s="80"/>
      <c r="J32" s="80"/>
      <c r="K32" s="80"/>
    </row>
    <row r="33" spans="1:11" x14ac:dyDescent="0.25">
      <c r="A33" s="70" t="s">
        <v>51</v>
      </c>
      <c r="B33" s="292" t="s">
        <v>31</v>
      </c>
      <c r="C33" s="56">
        <f>VLOOKUP(B33,J12:K18,2,FALSE)</f>
        <v>0</v>
      </c>
      <c r="D33" s="72" t="s">
        <v>50</v>
      </c>
      <c r="G33" s="80"/>
      <c r="I33" s="80"/>
      <c r="J33" s="80"/>
      <c r="K33" s="80"/>
    </row>
    <row r="34" spans="1:11" x14ac:dyDescent="0.25">
      <c r="A34" s="70" t="s">
        <v>46</v>
      </c>
      <c r="B34" s="361">
        <v>0</v>
      </c>
      <c r="C34" s="46">
        <f>B34*10*C33</f>
        <v>0</v>
      </c>
      <c r="D34" s="71" t="s">
        <v>163</v>
      </c>
      <c r="H34" s="15"/>
    </row>
    <row r="35" spans="1:11" ht="15.75" x14ac:dyDescent="0.25">
      <c r="A35" s="73" t="s">
        <v>47</v>
      </c>
      <c r="B35" s="224" t="str">
        <f>IF(B34&gt;3,"Sind Sie sicher?"," ")</f>
        <v xml:space="preserve"> </v>
      </c>
      <c r="C35" s="46"/>
      <c r="D35" s="71"/>
      <c r="H35" s="15"/>
    </row>
    <row r="36" spans="1:11" ht="16.5" customHeight="1" x14ac:dyDescent="0.25">
      <c r="A36" s="70" t="s">
        <v>69</v>
      </c>
      <c r="B36" s="388" t="s">
        <v>54</v>
      </c>
      <c r="C36" s="46">
        <f>VLOOKUP(B36,J23:K24,2,FALSE)</f>
        <v>0</v>
      </c>
      <c r="D36" s="74" t="s">
        <v>70</v>
      </c>
      <c r="H36" s="15"/>
    </row>
    <row r="37" spans="1:11" ht="30.75" customHeight="1" x14ac:dyDescent="0.25">
      <c r="A37" s="70"/>
      <c r="B37" s="146" t="s">
        <v>355</v>
      </c>
      <c r="C37" s="318">
        <v>11</v>
      </c>
      <c r="D37" s="192" t="s">
        <v>372</v>
      </c>
      <c r="H37" s="15"/>
    </row>
    <row r="38" spans="1:11" ht="32.25" customHeight="1" thickBot="1" x14ac:dyDescent="0.3">
      <c r="A38" s="75"/>
      <c r="B38" s="76" t="s">
        <v>465</v>
      </c>
      <c r="C38" s="46"/>
      <c r="D38" s="77" t="s">
        <v>64</v>
      </c>
    </row>
    <row r="39" spans="1:11" ht="31.5" customHeight="1" x14ac:dyDescent="0.25">
      <c r="A39" s="78" t="s">
        <v>61</v>
      </c>
      <c r="B39" s="42">
        <f>B42*0.35+C32*0.6</f>
        <v>60.129839999999994</v>
      </c>
      <c r="C39" s="230">
        <f>B39-C11-C12*0.5+C36</f>
        <v>35.129839999999994</v>
      </c>
      <c r="D39" s="39" t="s">
        <v>720</v>
      </c>
    </row>
    <row r="40" spans="1:11" ht="24.75" customHeight="1" x14ac:dyDescent="0.25">
      <c r="A40" s="78" t="s">
        <v>62</v>
      </c>
      <c r="B40" s="19">
        <f>B42*0.45+C32*0.4</f>
        <v>75.824079999999995</v>
      </c>
      <c r="C40" s="231">
        <f>B40-C12*0.5-C13*0.67-C14*0.4-C15*0.4-C16*0.3-C31*0.5-C34*0.4-C36</f>
        <v>61.464079999999996</v>
      </c>
      <c r="D40" s="100" t="s">
        <v>440</v>
      </c>
    </row>
    <row r="41" spans="1:11" ht="24.75" customHeight="1" thickBot="1" x14ac:dyDescent="0.3">
      <c r="A41" s="78" t="s">
        <v>63</v>
      </c>
      <c r="B41" s="19">
        <f>B42*0.2</f>
        <v>32.988480000000003</v>
      </c>
      <c r="C41" s="232">
        <f>B41-C14*0.6-C15*0.6-C16*0.35-C31*0.5-C34*0.6</f>
        <v>30.988480000000003</v>
      </c>
      <c r="D41" s="100" t="s">
        <v>166</v>
      </c>
    </row>
    <row r="42" spans="1:11" ht="27" x14ac:dyDescent="0.25">
      <c r="A42" s="66" t="s">
        <v>374</v>
      </c>
      <c r="B42" s="98">
        <f>(C56+C58)*1.2</f>
        <v>164.94239999999999</v>
      </c>
      <c r="C42" s="212">
        <f>C39+C40+C41</f>
        <v>127.58240000000001</v>
      </c>
      <c r="D42" s="189" t="str">
        <f>IF(C42&gt;C18,"Obergrenze einhalten!!!"," ")</f>
        <v xml:space="preserve"> </v>
      </c>
    </row>
    <row r="43" spans="1:11" ht="10.5" customHeight="1" x14ac:dyDescent="0.25">
      <c r="A43" s="114"/>
      <c r="B43" s="42"/>
      <c r="C43" s="10"/>
      <c r="D43" s="21"/>
    </row>
    <row r="44" spans="1:11" ht="30" customHeight="1" x14ac:dyDescent="0.25">
      <c r="A44" s="302"/>
      <c r="B44" s="68"/>
      <c r="C44" s="303" t="s">
        <v>729</v>
      </c>
      <c r="D44" s="304"/>
      <c r="F44" s="519" t="s">
        <v>183</v>
      </c>
      <c r="G44" s="122" t="s">
        <v>186</v>
      </c>
      <c r="H44" s="122"/>
      <c r="I44" s="122"/>
    </row>
    <row r="45" spans="1:11" ht="19.5" customHeight="1" x14ac:dyDescent="0.25">
      <c r="A45" s="127"/>
      <c r="B45" s="141" t="s">
        <v>42</v>
      </c>
      <c r="C45" s="132">
        <f>C18</f>
        <v>130</v>
      </c>
      <c r="D45" s="305" t="s">
        <v>4</v>
      </c>
      <c r="F45" s="60" t="s">
        <v>179</v>
      </c>
      <c r="G45" s="60">
        <v>90</v>
      </c>
      <c r="H45" s="611"/>
      <c r="I45" s="611"/>
    </row>
    <row r="46" spans="1:11" ht="19.5" customHeight="1" x14ac:dyDescent="0.25">
      <c r="A46" s="1602" t="s">
        <v>711</v>
      </c>
      <c r="B46" s="615" t="s">
        <v>710</v>
      </c>
      <c r="C46" s="620">
        <v>0</v>
      </c>
      <c r="D46" s="618" t="s">
        <v>491</v>
      </c>
      <c r="F46" s="60" t="s">
        <v>814</v>
      </c>
      <c r="G46" s="60">
        <v>70</v>
      </c>
      <c r="H46" s="611"/>
      <c r="I46" s="611"/>
    </row>
    <row r="47" spans="1:11" ht="19.5" customHeight="1" x14ac:dyDescent="0.25">
      <c r="A47" s="1603"/>
      <c r="B47" s="616" t="s">
        <v>713</v>
      </c>
      <c r="C47" s="612">
        <v>0</v>
      </c>
      <c r="D47" s="309" t="s">
        <v>492</v>
      </c>
      <c r="F47" s="60" t="s">
        <v>815</v>
      </c>
      <c r="G47" s="60">
        <v>70</v>
      </c>
      <c r="H47" s="611"/>
      <c r="I47" s="611"/>
    </row>
    <row r="48" spans="1:11" ht="19.5" customHeight="1" x14ac:dyDescent="0.25">
      <c r="A48" s="664" t="s">
        <v>827</v>
      </c>
      <c r="B48" s="246" t="s">
        <v>714</v>
      </c>
      <c r="C48" s="619">
        <v>0</v>
      </c>
      <c r="D48" s="309" t="s">
        <v>260</v>
      </c>
      <c r="F48" s="60" t="s">
        <v>819</v>
      </c>
      <c r="G48" s="519">
        <v>70</v>
      </c>
      <c r="H48" s="611"/>
      <c r="I48" s="611"/>
    </row>
    <row r="49" spans="1:11" ht="19.5" customHeight="1" x14ac:dyDescent="0.25">
      <c r="A49" s="1602" t="s">
        <v>712</v>
      </c>
      <c r="B49" s="615" t="s">
        <v>715</v>
      </c>
      <c r="C49" s="612">
        <v>0</v>
      </c>
      <c r="D49" s="618" t="s">
        <v>491</v>
      </c>
      <c r="F49" s="519" t="s">
        <v>820</v>
      </c>
      <c r="G49" s="519">
        <v>60</v>
      </c>
      <c r="H49" s="611"/>
      <c r="I49" s="611"/>
    </row>
    <row r="50" spans="1:11" ht="19.5" customHeight="1" x14ac:dyDescent="0.25">
      <c r="A50" s="1603"/>
      <c r="B50" s="616" t="s">
        <v>716</v>
      </c>
      <c r="C50" s="612">
        <v>0</v>
      </c>
      <c r="D50" s="309" t="s">
        <v>492</v>
      </c>
      <c r="F50" s="60" t="s">
        <v>48</v>
      </c>
      <c r="G50" s="519">
        <v>60</v>
      </c>
      <c r="H50" s="611"/>
      <c r="I50" s="611"/>
    </row>
    <row r="51" spans="1:11" ht="19.5" customHeight="1" x14ac:dyDescent="0.25">
      <c r="A51" s="664" t="s">
        <v>827</v>
      </c>
      <c r="B51" s="617" t="s">
        <v>717</v>
      </c>
      <c r="C51" s="612">
        <v>0</v>
      </c>
      <c r="D51" s="309" t="s">
        <v>260</v>
      </c>
      <c r="F51" s="60" t="s">
        <v>821</v>
      </c>
      <c r="G51" s="60">
        <v>45</v>
      </c>
      <c r="H51" s="611"/>
      <c r="I51" s="611"/>
    </row>
    <row r="52" spans="1:11" ht="19.5" customHeight="1" x14ac:dyDescent="0.25">
      <c r="A52" s="70"/>
      <c r="B52" s="112" t="s">
        <v>261</v>
      </c>
      <c r="C52" s="308">
        <f>(C46*C47*C48/100)+(C49*C50*C51/100)</f>
        <v>0</v>
      </c>
      <c r="D52" s="310" t="s">
        <v>4</v>
      </c>
      <c r="F52" s="519" t="s">
        <v>816</v>
      </c>
      <c r="G52" s="519">
        <v>30</v>
      </c>
      <c r="H52" s="611"/>
      <c r="I52" s="611"/>
    </row>
    <row r="53" spans="1:11" ht="19.5" customHeight="1" x14ac:dyDescent="0.25">
      <c r="A53" s="306"/>
      <c r="B53" s="307" t="s">
        <v>136</v>
      </c>
      <c r="C53" s="308">
        <f>C45-C52</f>
        <v>130</v>
      </c>
      <c r="D53" s="311" t="s">
        <v>4</v>
      </c>
      <c r="F53" s="60" t="s">
        <v>1034</v>
      </c>
      <c r="G53" s="519">
        <v>30</v>
      </c>
      <c r="H53" s="611"/>
      <c r="I53" s="611"/>
    </row>
    <row r="54" spans="1:11" ht="19.5" customHeight="1" x14ac:dyDescent="0.25">
      <c r="B54" s="18"/>
      <c r="C54" s="19"/>
      <c r="D54" s="20"/>
      <c r="F54" s="60" t="s">
        <v>187</v>
      </c>
      <c r="G54" s="519">
        <v>30</v>
      </c>
      <c r="H54" s="611"/>
      <c r="I54" s="611"/>
    </row>
    <row r="55" spans="1:11" ht="19.5" customHeight="1" x14ac:dyDescent="0.25">
      <c r="A55" s="67"/>
      <c r="B55" s="68"/>
      <c r="C55" s="312" t="s">
        <v>60</v>
      </c>
      <c r="D55" s="69"/>
      <c r="E55" s="13"/>
      <c r="F55" s="60" t="s">
        <v>823</v>
      </c>
      <c r="G55" s="519">
        <v>30</v>
      </c>
      <c r="H55" s="611"/>
      <c r="I55" s="611"/>
    </row>
    <row r="56" spans="1:11" ht="19.5" customHeight="1" x14ac:dyDescent="0.25">
      <c r="A56" s="70"/>
      <c r="B56" s="41" t="s">
        <v>12</v>
      </c>
      <c r="C56" s="185">
        <f>C7*0.86*C37/6.25</f>
        <v>105.95199999999998</v>
      </c>
      <c r="D56" s="92" t="str">
        <f>IF(C56&gt;200,"mehr als 200 kg Korn-N/ha ist unrealistisch!","Korn-N-Abfuhr")</f>
        <v>Korn-N-Abfuhr</v>
      </c>
      <c r="F56" s="60" t="s">
        <v>824</v>
      </c>
      <c r="G56" s="519">
        <v>30</v>
      </c>
      <c r="H56" s="611"/>
      <c r="I56" s="611"/>
    </row>
    <row r="57" spans="1:11" ht="19.5" customHeight="1" x14ac:dyDescent="0.25">
      <c r="A57" s="70"/>
      <c r="B57" s="81" t="s">
        <v>14</v>
      </c>
      <c r="C57" s="186">
        <f>(125-0.5*C7)/100</f>
        <v>0.9</v>
      </c>
      <c r="D57" s="82" t="s">
        <v>344</v>
      </c>
      <c r="F57" s="60" t="s">
        <v>825</v>
      </c>
      <c r="G57" s="519">
        <v>30</v>
      </c>
      <c r="H57" s="611"/>
      <c r="I57" s="611"/>
    </row>
    <row r="58" spans="1:11" ht="19.5" customHeight="1" x14ac:dyDescent="0.25">
      <c r="A58" s="70"/>
      <c r="B58" s="41" t="s">
        <v>13</v>
      </c>
      <c r="C58" s="50">
        <f>C7*C57*C37/22</f>
        <v>31.5</v>
      </c>
      <c r="D58" s="71"/>
      <c r="F58" s="60" t="s">
        <v>180</v>
      </c>
      <c r="G58" s="519">
        <v>25</v>
      </c>
      <c r="H58" s="611"/>
      <c r="I58" s="611"/>
      <c r="J58" s="80"/>
      <c r="K58" s="80"/>
    </row>
    <row r="59" spans="1:11" ht="19.5" customHeight="1" x14ac:dyDescent="0.25">
      <c r="A59" s="26" t="s">
        <v>68</v>
      </c>
      <c r="B59" s="41" t="s">
        <v>65</v>
      </c>
      <c r="C59" s="101">
        <f>C42-C56</f>
        <v>21.630400000000023</v>
      </c>
      <c r="D59" s="84" t="s">
        <v>4</v>
      </c>
      <c r="F59" s="60" t="s">
        <v>817</v>
      </c>
      <c r="G59" s="519">
        <v>25</v>
      </c>
    </row>
    <row r="60" spans="1:11" ht="19.5" customHeight="1" x14ac:dyDescent="0.25">
      <c r="A60" s="629" t="s">
        <v>739</v>
      </c>
      <c r="B60" s="41" t="s">
        <v>66</v>
      </c>
      <c r="C60" s="187">
        <f>C42-C56-C58</f>
        <v>-9.8695999999999771</v>
      </c>
      <c r="D60" s="84" t="s">
        <v>4</v>
      </c>
      <c r="F60" s="519" t="s">
        <v>818</v>
      </c>
      <c r="G60" s="519">
        <v>25</v>
      </c>
    </row>
    <row r="61" spans="1:11" ht="19.5" customHeight="1" x14ac:dyDescent="0.25">
      <c r="A61" s="628" t="s">
        <v>67</v>
      </c>
      <c r="B61" s="41" t="s">
        <v>65</v>
      </c>
      <c r="C61" s="187">
        <f>C18-C56</f>
        <v>24.048000000000016</v>
      </c>
      <c r="D61" s="84" t="s">
        <v>4</v>
      </c>
      <c r="F61" s="519" t="s">
        <v>826</v>
      </c>
      <c r="G61" s="519">
        <v>10</v>
      </c>
    </row>
    <row r="62" spans="1:11" ht="19.5" customHeight="1" x14ac:dyDescent="0.25">
      <c r="A62" s="729" t="s">
        <v>739</v>
      </c>
      <c r="B62" s="85" t="s">
        <v>66</v>
      </c>
      <c r="C62" s="188">
        <f>C18-C56-C58</f>
        <v>-7.451999999999984</v>
      </c>
      <c r="D62" s="87" t="s">
        <v>4</v>
      </c>
      <c r="F62" s="519" t="s">
        <v>181</v>
      </c>
      <c r="G62" s="519">
        <v>10</v>
      </c>
    </row>
    <row r="63" spans="1:11" ht="19.5" customHeight="1" x14ac:dyDescent="0.25">
      <c r="A63" s="730"/>
      <c r="B63" s="41"/>
      <c r="C63" s="42"/>
      <c r="D63" s="731"/>
      <c r="F63" s="519" t="s">
        <v>188</v>
      </c>
      <c r="G63" s="519">
        <v>5</v>
      </c>
    </row>
    <row r="64" spans="1:11" ht="19.5" customHeight="1" x14ac:dyDescent="0.25">
      <c r="A64" s="730"/>
      <c r="B64" s="41"/>
      <c r="C64" s="42"/>
      <c r="D64" s="731"/>
      <c r="F64" s="519" t="s">
        <v>182</v>
      </c>
      <c r="G64" s="519">
        <v>3</v>
      </c>
    </row>
    <row r="65" spans="1:8" ht="19.5" customHeight="1" x14ac:dyDescent="0.25">
      <c r="B65" s="1360"/>
      <c r="C65" s="1293"/>
      <c r="D65" s="1293"/>
    </row>
    <row r="66" spans="1:8" ht="20.25" customHeight="1" x14ac:dyDescent="0.25">
      <c r="B66" s="657"/>
      <c r="C66" s="400"/>
      <c r="D66" s="400"/>
    </row>
    <row r="67" spans="1:8" ht="13.5" customHeight="1" x14ac:dyDescent="0.25">
      <c r="A67" s="91" t="s">
        <v>167</v>
      </c>
      <c r="B67" s="89"/>
      <c r="C67" s="313"/>
    </row>
    <row r="68" spans="1:8" ht="42" customHeight="1" x14ac:dyDescent="0.25">
      <c r="A68" s="661" t="s">
        <v>334</v>
      </c>
      <c r="B68" s="1596" t="s">
        <v>375</v>
      </c>
      <c r="C68" s="1267"/>
      <c r="D68" s="1267"/>
    </row>
    <row r="69" spans="1:8" ht="22.5" customHeight="1" x14ac:dyDescent="0.25">
      <c r="A69" s="661"/>
      <c r="B69" s="88" t="s">
        <v>376</v>
      </c>
      <c r="C69" s="90" t="s">
        <v>377</v>
      </c>
    </row>
    <row r="70" spans="1:8" ht="20.25" customHeight="1" x14ac:dyDescent="0.25">
      <c r="A70" s="661"/>
      <c r="B70" s="88" t="s">
        <v>378</v>
      </c>
      <c r="C70" s="90" t="s">
        <v>379</v>
      </c>
      <c r="E70" s="80"/>
    </row>
    <row r="71" spans="1:8" ht="19.5" customHeight="1" x14ac:dyDescent="0.25">
      <c r="A71" s="661"/>
      <c r="B71" s="15"/>
      <c r="C71" s="15"/>
      <c r="E71" s="80"/>
      <c r="F71" s="1597" t="s">
        <v>371</v>
      </c>
      <c r="G71" s="1293" t="s">
        <v>339</v>
      </c>
    </row>
    <row r="72" spans="1:8" ht="93.75" customHeight="1" x14ac:dyDescent="0.25">
      <c r="A72" s="661" t="s">
        <v>330</v>
      </c>
      <c r="B72" s="1596" t="s">
        <v>380</v>
      </c>
      <c r="C72" s="1463"/>
      <c r="D72" s="1463"/>
      <c r="E72" s="400"/>
      <c r="F72" s="1597"/>
      <c r="G72" s="1293"/>
    </row>
    <row r="73" spans="1:8" ht="16.5" customHeight="1" x14ac:dyDescent="0.25">
      <c r="A73" s="661"/>
      <c r="B73" s="89"/>
      <c r="C73" s="313"/>
      <c r="E73" s="659"/>
    </row>
    <row r="74" spans="1:8" ht="24" customHeight="1" x14ac:dyDescent="0.25">
      <c r="A74" s="661"/>
      <c r="B74" s="88" t="s">
        <v>335</v>
      </c>
      <c r="C74" s="313"/>
      <c r="D74" s="80" t="s">
        <v>336</v>
      </c>
      <c r="H74" s="15"/>
    </row>
    <row r="75" spans="1:8" ht="25.5" customHeight="1" x14ac:dyDescent="0.25">
      <c r="A75" s="661" t="s">
        <v>168</v>
      </c>
      <c r="B75" s="88" t="s">
        <v>343</v>
      </c>
      <c r="C75" s="313"/>
      <c r="D75" s="313" t="s">
        <v>367</v>
      </c>
      <c r="F75" s="80"/>
      <c r="H75" s="15"/>
    </row>
    <row r="76" spans="1:8" ht="96" customHeight="1" x14ac:dyDescent="0.25">
      <c r="A76" s="661" t="s">
        <v>169</v>
      </c>
      <c r="B76" s="88" t="s">
        <v>365</v>
      </c>
      <c r="C76" s="313"/>
      <c r="D76" s="613" t="s">
        <v>370</v>
      </c>
      <c r="F76" s="80"/>
      <c r="H76" s="15"/>
    </row>
    <row r="77" spans="1:8" ht="81.75" customHeight="1" x14ac:dyDescent="0.25">
      <c r="A77" s="661" t="s">
        <v>170</v>
      </c>
      <c r="B77" s="88" t="s">
        <v>366</v>
      </c>
      <c r="C77" s="313"/>
      <c r="D77" s="614" t="s">
        <v>725</v>
      </c>
      <c r="F77" s="80"/>
      <c r="H77" s="15"/>
    </row>
    <row r="78" spans="1:8" ht="24.75" customHeight="1" x14ac:dyDescent="0.25">
      <c r="A78" s="661" t="s">
        <v>346</v>
      </c>
      <c r="B78" s="88" t="s">
        <v>337</v>
      </c>
      <c r="C78" s="90"/>
      <c r="D78" s="15" t="s">
        <v>373</v>
      </c>
      <c r="F78" s="80"/>
      <c r="H78" s="15"/>
    </row>
    <row r="79" spans="1:8" ht="24" customHeight="1" x14ac:dyDescent="0.25">
      <c r="A79" s="41" t="s">
        <v>416</v>
      </c>
      <c r="B79" s="15" t="s">
        <v>341</v>
      </c>
      <c r="C79" s="15"/>
      <c r="F79" s="80"/>
    </row>
    <row r="80" spans="1:8" x14ac:dyDescent="0.25">
      <c r="B80" s="15" t="s">
        <v>340</v>
      </c>
      <c r="C80" s="15"/>
    </row>
    <row r="81" spans="1:3" x14ac:dyDescent="0.25">
      <c r="B81" s="15"/>
      <c r="C81" s="15"/>
    </row>
    <row r="82" spans="1:3" ht="19.5" customHeight="1" x14ac:dyDescent="0.25">
      <c r="A82" s="661" t="s">
        <v>417</v>
      </c>
      <c r="B82" s="15" t="s">
        <v>345</v>
      </c>
      <c r="C82" s="15"/>
    </row>
    <row r="83" spans="1:3" x14ac:dyDescent="0.25">
      <c r="B83" s="15" t="s">
        <v>381</v>
      </c>
      <c r="C83" s="15"/>
    </row>
  </sheetData>
  <sheetProtection sheet="1" formatCells="0" formatColumns="0" formatRows="0" selectLockedCells="1"/>
  <mergeCells count="16">
    <mergeCell ref="A49:A50"/>
    <mergeCell ref="A29:B30"/>
    <mergeCell ref="D29:D30"/>
    <mergeCell ref="A46:A47"/>
    <mergeCell ref="A5:D5"/>
    <mergeCell ref="A6:B6"/>
    <mergeCell ref="A20:B20"/>
    <mergeCell ref="A21:A25"/>
    <mergeCell ref="A26:A27"/>
    <mergeCell ref="B26:B27"/>
    <mergeCell ref="C26:D27"/>
    <mergeCell ref="B65:D65"/>
    <mergeCell ref="B68:D68"/>
    <mergeCell ref="F71:F72"/>
    <mergeCell ref="G71:G72"/>
    <mergeCell ref="B72:D72"/>
  </mergeCells>
  <dataValidations count="7">
    <dataValidation type="list" allowBlank="1" sqref="B14" xr:uid="{00000000-0002-0000-1400-000000000000}">
      <formula1>$G$22:$G$32</formula1>
    </dataValidation>
    <dataValidation type="list" allowBlank="1" sqref="B15" xr:uid="{00000000-0002-0000-1400-000001000000}">
      <formula1>Vorfrucht</formula1>
    </dataValidation>
    <dataValidation type="list" allowBlank="1" sqref="J8:J9" xr:uid="{00000000-0002-0000-1400-000002000000}">
      <formula1>"Humusgehalt"</formula1>
    </dataValidation>
    <dataValidation type="list" allowBlank="1" sqref="B17" xr:uid="{00000000-0002-0000-1400-000003000000}">
      <formula1>"bis 4 %, größer 4 %"</formula1>
    </dataValidation>
    <dataValidation type="list" allowBlank="1" sqref="C37" xr:uid="{00000000-0002-0000-1400-000004000000}">
      <mc:AlternateContent xmlns:x12ac="http://schemas.microsoft.com/office/spreadsheetml/2011/1/ac" xmlns:mc="http://schemas.openxmlformats.org/markup-compatibility/2006">
        <mc:Choice Requires="x12ac">
          <x12ac:list>8,"8,5",9,"9,5",10,"10,5",11,"11,5",12,"12,5",13,"13,5",14,"14,5"</x12ac:list>
        </mc:Choice>
        <mc:Fallback>
          <formula1>"8,8,5,9,9,5,10,10,5,11,11,5,12,12,5,13,13,5,14,14,5"</formula1>
        </mc:Fallback>
      </mc:AlternateContent>
    </dataValidation>
    <dataValidation type="list" allowBlank="1" sqref="B33" xr:uid="{00000000-0002-0000-1400-000005000000}">
      <formula1>J12:J18</formula1>
    </dataValidation>
    <dataValidation type="list" allowBlank="1" sqref="B36" xr:uid="{00000000-0002-0000-1400-000006000000}">
      <formula1>Witterung</formula1>
    </dataValidation>
  </dataValidations>
  <pageMargins left="0.7" right="0.7" top="0.78740157499999996" bottom="0.78740157499999996" header="0.3" footer="0.3"/>
  <pageSetup paperSize="9" scale="66" orientation="portrait" horizontalDpi="4294967293" verticalDpi="4294967293" r:id="rId1"/>
  <rowBreaks count="1" manualBreakCount="1">
    <brk id="80" max="3" man="1"/>
  </rowBreaks>
  <colBreaks count="1" manualBreakCount="1">
    <brk id="4"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21">
    <tabColor theme="0"/>
    <pageSetUpPr fitToPage="1"/>
  </sheetPr>
  <dimension ref="A1:K81"/>
  <sheetViews>
    <sheetView zoomScaleNormal="100" workbookViewId="0">
      <selection activeCell="C7" sqref="C7"/>
    </sheetView>
  </sheetViews>
  <sheetFormatPr baseColWidth="10" defaultRowHeight="15" x14ac:dyDescent="0.25"/>
  <cols>
    <col min="1" max="1" width="38.140625" style="41" customWidth="1"/>
    <col min="2" max="2" width="39" style="112" customWidth="1"/>
    <col min="3" max="3" width="29.42578125" style="80" customWidth="1"/>
    <col min="4" max="4" width="30.5703125" style="15" customWidth="1"/>
    <col min="5" max="5" width="22.140625" style="15" customWidth="1"/>
    <col min="6" max="6" width="34.7109375" style="15" customWidth="1"/>
    <col min="7" max="7" width="34.85546875" style="15" customWidth="1"/>
    <col min="8" max="8" width="26.42578125" style="80" customWidth="1"/>
    <col min="9" max="9" width="23.5703125" style="15" customWidth="1"/>
    <col min="10" max="10" width="37.85546875" style="15" customWidth="1"/>
    <col min="11" max="11" width="21" style="15" customWidth="1"/>
    <col min="12" max="16384" width="11.42578125" style="15"/>
  </cols>
  <sheetData>
    <row r="1" spans="1:11" x14ac:dyDescent="0.25">
      <c r="B1" s="112" t="str">
        <f>'DüV-N-Ackerbau (1)'!C1</f>
        <v>Testbetrieb</v>
      </c>
      <c r="C1" s="112" t="str">
        <f>'DüV-N-Ackerbau (1)'!F1</f>
        <v>Erntejahr</v>
      </c>
      <c r="E1" s="11" t="s">
        <v>36</v>
      </c>
    </row>
    <row r="2" spans="1:11" x14ac:dyDescent="0.25">
      <c r="B2" s="112">
        <f>'DüV-N-Ackerbau (1)'!C2</f>
        <v>1</v>
      </c>
      <c r="C2" s="112">
        <f>'DüV-N-Ackerbau (1)'!G1</f>
        <v>2022</v>
      </c>
      <c r="E2" s="12" t="s">
        <v>34</v>
      </c>
    </row>
    <row r="3" spans="1:11" x14ac:dyDescent="0.25">
      <c r="B3" s="112">
        <f>'DüV-N-Ackerbau (1)'!C3</f>
        <v>123456</v>
      </c>
      <c r="C3" s="41"/>
    </row>
    <row r="4" spans="1:11" ht="6" customHeight="1" thickBot="1" x14ac:dyDescent="0.3"/>
    <row r="5" spans="1:11" ht="21.75" thickBot="1" x14ac:dyDescent="0.3">
      <c r="A5" s="1604" t="s">
        <v>516</v>
      </c>
      <c r="B5" s="1605"/>
      <c r="C5" s="1605"/>
      <c r="D5" s="1606"/>
    </row>
    <row r="6" spans="1:11" ht="48" thickBot="1" x14ac:dyDescent="0.3">
      <c r="A6" s="1607" t="s">
        <v>581</v>
      </c>
      <c r="B6" s="1608"/>
      <c r="C6" s="280" t="s">
        <v>579</v>
      </c>
      <c r="D6" s="346" t="s">
        <v>533</v>
      </c>
      <c r="G6" s="352"/>
      <c r="H6" s="351" t="s">
        <v>5</v>
      </c>
      <c r="I6" s="352"/>
      <c r="J6" s="352"/>
      <c r="K6" s="352"/>
    </row>
    <row r="7" spans="1:11" ht="15.75" x14ac:dyDescent="0.25">
      <c r="A7" s="59"/>
      <c r="B7" s="41" t="s">
        <v>677</v>
      </c>
      <c r="C7" s="323">
        <v>70</v>
      </c>
      <c r="D7" s="315"/>
      <c r="G7" s="351" t="s">
        <v>6</v>
      </c>
      <c r="H7" s="352"/>
      <c r="I7" s="352"/>
      <c r="J7" s="352" t="s">
        <v>159</v>
      </c>
      <c r="K7" s="352"/>
    </row>
    <row r="8" spans="1:11" ht="15.75" x14ac:dyDescent="0.25">
      <c r="A8" s="59"/>
      <c r="B8" s="41"/>
      <c r="C8" s="347" t="str">
        <f>IF(OR(C7&lt;30,C7&gt;150),"Sind Sie sicher?"," ")</f>
        <v xml:space="preserve"> </v>
      </c>
      <c r="D8" s="315"/>
      <c r="G8" s="352" t="s">
        <v>510</v>
      </c>
      <c r="H8" s="352">
        <v>0</v>
      </c>
      <c r="I8" s="352"/>
      <c r="J8" s="352" t="s">
        <v>160</v>
      </c>
      <c r="K8" s="352">
        <v>0</v>
      </c>
    </row>
    <row r="9" spans="1:11" ht="15.75" x14ac:dyDescent="0.25">
      <c r="A9" s="59"/>
      <c r="B9" s="41"/>
      <c r="C9" s="343" t="s">
        <v>4</v>
      </c>
      <c r="D9" s="315"/>
      <c r="G9" s="352" t="s">
        <v>22</v>
      </c>
      <c r="H9" s="352">
        <v>10</v>
      </c>
      <c r="I9" s="352"/>
      <c r="J9" s="352" t="s">
        <v>161</v>
      </c>
      <c r="K9" s="352">
        <v>20</v>
      </c>
    </row>
    <row r="10" spans="1:11" ht="15.75" x14ac:dyDescent="0.25">
      <c r="A10" s="59"/>
      <c r="B10" s="41" t="s">
        <v>37</v>
      </c>
      <c r="C10" s="345">
        <f>IF(C7&lt;=69,75+C7*1.5,(IF(C7&gt;=70,110+C7)))</f>
        <v>180</v>
      </c>
      <c r="D10" s="316"/>
      <c r="G10" s="352" t="s">
        <v>535</v>
      </c>
      <c r="H10" s="352">
        <v>10</v>
      </c>
      <c r="I10" s="352"/>
      <c r="J10" s="352"/>
      <c r="K10" s="352"/>
    </row>
    <row r="11" spans="1:11" ht="18" x14ac:dyDescent="0.25">
      <c r="A11" s="59"/>
      <c r="B11" s="41" t="s">
        <v>38</v>
      </c>
      <c r="C11" s="359">
        <v>15</v>
      </c>
      <c r="D11" s="316"/>
      <c r="G11" s="352" t="s">
        <v>7</v>
      </c>
      <c r="H11" s="352">
        <v>10</v>
      </c>
      <c r="I11" s="352"/>
      <c r="J11" s="351" t="s">
        <v>49</v>
      </c>
      <c r="K11" s="352"/>
    </row>
    <row r="12" spans="1:11" ht="18" x14ac:dyDescent="0.25">
      <c r="A12" s="59"/>
      <c r="B12" s="41" t="s">
        <v>39</v>
      </c>
      <c r="C12" s="359">
        <v>10</v>
      </c>
      <c r="D12" s="316"/>
      <c r="G12" s="352" t="s">
        <v>17</v>
      </c>
      <c r="H12" s="352">
        <v>20</v>
      </c>
      <c r="I12" s="352"/>
      <c r="J12" s="971" t="s">
        <v>1225</v>
      </c>
      <c r="K12" s="971">
        <v>1</v>
      </c>
    </row>
    <row r="13" spans="1:11" ht="18" x14ac:dyDescent="0.25">
      <c r="A13" s="59"/>
      <c r="B13" s="41" t="s">
        <v>40</v>
      </c>
      <c r="C13" s="359">
        <v>5</v>
      </c>
      <c r="D13" s="316"/>
      <c r="G13" s="352" t="s">
        <v>23</v>
      </c>
      <c r="H13" s="352">
        <v>0</v>
      </c>
      <c r="I13" s="352"/>
      <c r="J13" s="971" t="s">
        <v>184</v>
      </c>
      <c r="K13" s="971">
        <v>0.5</v>
      </c>
    </row>
    <row r="14" spans="1:11" x14ac:dyDescent="0.25">
      <c r="A14" s="59" t="s">
        <v>8</v>
      </c>
      <c r="B14" s="292" t="s">
        <v>31</v>
      </c>
      <c r="C14" s="128">
        <f>VLOOKUP(B14,G22:H32,2,FALSE)</f>
        <v>0</v>
      </c>
      <c r="D14" s="316"/>
      <c r="G14" s="352" t="s">
        <v>20</v>
      </c>
      <c r="H14" s="352">
        <v>20</v>
      </c>
      <c r="I14" s="352"/>
      <c r="J14" s="971" t="s">
        <v>1227</v>
      </c>
      <c r="K14" s="971">
        <v>0.6</v>
      </c>
    </row>
    <row r="15" spans="1:11" x14ac:dyDescent="0.25">
      <c r="A15" s="59" t="s">
        <v>6</v>
      </c>
      <c r="B15" s="292" t="s">
        <v>510</v>
      </c>
      <c r="C15" s="128">
        <f>VLOOKUP(B15,G8:H18,2,FALSE)</f>
        <v>0</v>
      </c>
      <c r="D15" s="316"/>
      <c r="G15" s="352" t="s">
        <v>19</v>
      </c>
      <c r="H15" s="352">
        <v>10</v>
      </c>
      <c r="I15" s="352"/>
      <c r="J15" s="971" t="s">
        <v>1228</v>
      </c>
      <c r="K15" s="971">
        <v>0.4</v>
      </c>
    </row>
    <row r="16" spans="1:11" ht="15.75" x14ac:dyDescent="0.25">
      <c r="A16" s="59" t="s">
        <v>1073</v>
      </c>
      <c r="B16" s="112" t="s">
        <v>24</v>
      </c>
      <c r="C16" s="703">
        <v>0</v>
      </c>
      <c r="D16" s="316"/>
      <c r="E16" s="358" t="str">
        <f>IF(C16&gt;25,"Sind Sie sicher?"," ")</f>
        <v xml:space="preserve"> </v>
      </c>
      <c r="G16" s="352" t="s">
        <v>536</v>
      </c>
      <c r="H16" s="352">
        <v>0</v>
      </c>
      <c r="I16" s="352"/>
      <c r="J16" s="971" t="s">
        <v>1226</v>
      </c>
      <c r="K16" s="971">
        <v>0.35</v>
      </c>
    </row>
    <row r="17" spans="1:11" ht="15.75" thickBot="1" x14ac:dyDescent="0.3">
      <c r="A17" s="59" t="s">
        <v>159</v>
      </c>
      <c r="B17" s="292" t="s">
        <v>160</v>
      </c>
      <c r="C17" s="702">
        <f>VLOOKUP(B17,J8:K9,2,FALSE)</f>
        <v>0</v>
      </c>
      <c r="D17" s="317"/>
      <c r="G17" s="352" t="s">
        <v>21</v>
      </c>
      <c r="H17" s="352">
        <v>10</v>
      </c>
      <c r="I17" s="352"/>
      <c r="J17" s="971" t="s">
        <v>48</v>
      </c>
      <c r="K17" s="971">
        <v>0.3</v>
      </c>
    </row>
    <row r="18" spans="1:11" ht="16.5" thickBot="1" x14ac:dyDescent="0.3">
      <c r="A18" s="242"/>
      <c r="B18" s="243" t="s">
        <v>475</v>
      </c>
      <c r="C18" s="239">
        <f>C10-SUM(C11:C17)</f>
        <v>150</v>
      </c>
      <c r="D18" s="244" t="s">
        <v>477</v>
      </c>
      <c r="G18" s="352" t="s">
        <v>18</v>
      </c>
      <c r="H18" s="352">
        <v>20</v>
      </c>
      <c r="I18" s="352"/>
      <c r="J18" s="971" t="s">
        <v>31</v>
      </c>
      <c r="K18" s="971">
        <v>0</v>
      </c>
    </row>
    <row r="19" spans="1:11" ht="8.25" customHeight="1" thickBot="1" x14ac:dyDescent="0.3">
      <c r="B19" s="141"/>
      <c r="C19" s="10"/>
      <c r="D19" s="252"/>
      <c r="G19" s="352"/>
      <c r="H19" s="352"/>
      <c r="I19" s="352"/>
      <c r="J19" s="352"/>
      <c r="K19" s="352"/>
    </row>
    <row r="20" spans="1:11" ht="18" customHeight="1" x14ac:dyDescent="0.25">
      <c r="A20" s="1607" t="s">
        <v>584</v>
      </c>
      <c r="B20" s="1609"/>
      <c r="C20" s="660" t="s">
        <v>593</v>
      </c>
      <c r="D20" s="444" t="s">
        <v>593</v>
      </c>
      <c r="G20" s="352"/>
      <c r="H20" s="352"/>
      <c r="I20" s="352"/>
      <c r="J20" s="352"/>
      <c r="K20" s="352"/>
    </row>
    <row r="21" spans="1:11" ht="21" customHeight="1" x14ac:dyDescent="0.25">
      <c r="A21" s="1610" t="s">
        <v>596</v>
      </c>
      <c r="B21" s="466" t="s">
        <v>585</v>
      </c>
      <c r="C21" s="462" t="s">
        <v>586</v>
      </c>
      <c r="D21" s="465" t="s">
        <v>587</v>
      </c>
      <c r="G21" s="351" t="s">
        <v>8</v>
      </c>
      <c r="H21" s="352"/>
      <c r="I21" s="352"/>
      <c r="J21" s="352"/>
      <c r="K21" s="352"/>
    </row>
    <row r="22" spans="1:11" ht="21" customHeight="1" x14ac:dyDescent="0.25">
      <c r="A22" s="1611"/>
      <c r="B22" s="442" t="s">
        <v>589</v>
      </c>
      <c r="C22" s="226">
        <f>C24*2</f>
        <v>112</v>
      </c>
      <c r="D22" s="443">
        <f>D24*2</f>
        <v>141.4</v>
      </c>
      <c r="G22" s="352" t="s">
        <v>31</v>
      </c>
      <c r="H22" s="352">
        <v>0</v>
      </c>
      <c r="I22" s="352"/>
      <c r="J22" s="351" t="s">
        <v>69</v>
      </c>
      <c r="K22" s="352"/>
    </row>
    <row r="23" spans="1:11" ht="21" customHeight="1" x14ac:dyDescent="0.25">
      <c r="A23" s="1611"/>
      <c r="B23" s="442" t="s">
        <v>590</v>
      </c>
      <c r="C23" s="226">
        <f>C24*1.5</f>
        <v>84</v>
      </c>
      <c r="D23" s="443">
        <f>D24*1.5</f>
        <v>106.05000000000001</v>
      </c>
      <c r="G23" s="352" t="s">
        <v>25</v>
      </c>
      <c r="H23" s="352">
        <v>0</v>
      </c>
      <c r="I23" s="352"/>
      <c r="J23" s="352" t="s">
        <v>256</v>
      </c>
      <c r="K23" s="352">
        <v>10</v>
      </c>
    </row>
    <row r="24" spans="1:11" ht="21" customHeight="1" x14ac:dyDescent="0.25">
      <c r="A24" s="1611"/>
      <c r="B24" s="442" t="s">
        <v>591</v>
      </c>
      <c r="C24" s="446">
        <f>C7*0.8</f>
        <v>56</v>
      </c>
      <c r="D24" s="447">
        <f>C7*1.01</f>
        <v>70.7</v>
      </c>
      <c r="G24" s="352" t="s">
        <v>26</v>
      </c>
      <c r="H24" s="352">
        <v>0</v>
      </c>
      <c r="I24" s="352"/>
      <c r="J24" s="352" t="s">
        <v>54</v>
      </c>
      <c r="K24" s="352">
        <v>0</v>
      </c>
    </row>
    <row r="25" spans="1:11" ht="18.75" customHeight="1" x14ac:dyDescent="0.25">
      <c r="A25" s="1421"/>
      <c r="B25" s="463" t="s">
        <v>592</v>
      </c>
      <c r="C25" s="226">
        <f>C24*0.5</f>
        <v>28</v>
      </c>
      <c r="D25" s="443">
        <f>D24*0.5</f>
        <v>35.35</v>
      </c>
      <c r="G25" s="352" t="s">
        <v>27</v>
      </c>
      <c r="H25" s="352">
        <v>20</v>
      </c>
      <c r="I25" s="352"/>
      <c r="J25" s="352"/>
      <c r="K25" s="352"/>
    </row>
    <row r="26" spans="1:11" ht="21.75" customHeight="1" x14ac:dyDescent="0.25">
      <c r="A26" s="1624"/>
      <c r="B26" s="1625" t="s">
        <v>594</v>
      </c>
      <c r="C26" s="1616" t="s">
        <v>597</v>
      </c>
      <c r="D26" s="1617"/>
      <c r="G26" s="352" t="s">
        <v>28</v>
      </c>
      <c r="H26" s="352">
        <v>10</v>
      </c>
      <c r="I26" s="352"/>
      <c r="J26" s="352"/>
      <c r="K26" s="352"/>
    </row>
    <row r="27" spans="1:11" ht="26.25" customHeight="1" thickBot="1" x14ac:dyDescent="0.3">
      <c r="A27" s="1621"/>
      <c r="B27" s="1623"/>
      <c r="C27" s="1618"/>
      <c r="D27" s="1619"/>
      <c r="G27" s="352" t="s">
        <v>29</v>
      </c>
      <c r="H27" s="352">
        <v>10</v>
      </c>
      <c r="I27" s="352"/>
      <c r="J27" s="352"/>
      <c r="K27" s="352"/>
    </row>
    <row r="28" spans="1:11" ht="8.25" customHeight="1" thickBot="1" x14ac:dyDescent="0.3">
      <c r="E28" s="13"/>
      <c r="G28" s="352" t="s">
        <v>681</v>
      </c>
      <c r="H28" s="352">
        <v>30</v>
      </c>
      <c r="I28" s="352"/>
      <c r="J28" s="352"/>
      <c r="K28" s="352"/>
    </row>
    <row r="29" spans="1:11" ht="15.75" x14ac:dyDescent="0.25">
      <c r="A29" s="1598" t="s">
        <v>498</v>
      </c>
      <c r="B29" s="1379"/>
      <c r="C29" s="228" t="s">
        <v>174</v>
      </c>
      <c r="D29" s="1380" t="s">
        <v>342</v>
      </c>
      <c r="G29" s="352" t="s">
        <v>30</v>
      </c>
      <c r="H29" s="352">
        <v>40</v>
      </c>
      <c r="I29" s="352"/>
      <c r="J29" s="352"/>
      <c r="K29" s="352"/>
    </row>
    <row r="30" spans="1:11" ht="15.75" customHeight="1" thickBot="1" x14ac:dyDescent="0.3">
      <c r="A30" s="1600"/>
      <c r="B30" s="1381"/>
      <c r="C30" s="281" t="s">
        <v>493</v>
      </c>
      <c r="D30" s="1346"/>
      <c r="G30" s="352" t="s">
        <v>9</v>
      </c>
      <c r="H30" s="352">
        <v>0</v>
      </c>
      <c r="I30" s="352"/>
      <c r="J30" s="352"/>
      <c r="K30" s="352"/>
    </row>
    <row r="31" spans="1:11" x14ac:dyDescent="0.25">
      <c r="A31" s="70" t="s">
        <v>35</v>
      </c>
      <c r="B31" s="295">
        <v>40</v>
      </c>
      <c r="C31" s="50">
        <f>IF(OR(B31&lt;1,B31&gt;100),"Zahl 0 bis 100 eingeben",(-0.0025*B31*B31+0.75*B31-26)*0.4)</f>
        <v>0</v>
      </c>
      <c r="D31" s="71" t="s">
        <v>163</v>
      </c>
      <c r="G31" s="352" t="s">
        <v>10</v>
      </c>
      <c r="H31" s="352">
        <v>10</v>
      </c>
    </row>
    <row r="32" spans="1:11" x14ac:dyDescent="0.25">
      <c r="A32" s="70" t="s">
        <v>162</v>
      </c>
      <c r="B32" s="295">
        <v>200</v>
      </c>
      <c r="C32" s="50">
        <f>IF(OR(B32&lt;40,B32&gt;800),"gibt es nicht",(B32*0.025-1))</f>
        <v>4</v>
      </c>
      <c r="D32" s="71" t="s">
        <v>164</v>
      </c>
      <c r="F32" s="284"/>
      <c r="G32" s="352" t="s">
        <v>31</v>
      </c>
      <c r="H32" s="352">
        <v>0</v>
      </c>
    </row>
    <row r="33" spans="1:9" x14ac:dyDescent="0.25">
      <c r="A33" s="70" t="s">
        <v>51</v>
      </c>
      <c r="B33" s="292" t="s">
        <v>31</v>
      </c>
      <c r="C33" s="56">
        <f>VLOOKUP(B33,J12:K18,2,FALSE)</f>
        <v>0</v>
      </c>
      <c r="D33" s="72" t="s">
        <v>50</v>
      </c>
      <c r="H33" s="15"/>
    </row>
    <row r="34" spans="1:9" x14ac:dyDescent="0.25">
      <c r="A34" s="70" t="s">
        <v>46</v>
      </c>
      <c r="B34" s="361">
        <v>0</v>
      </c>
      <c r="C34" s="46">
        <f>B34*10*C33</f>
        <v>0</v>
      </c>
      <c r="D34" s="71" t="s">
        <v>163</v>
      </c>
      <c r="H34" s="15"/>
    </row>
    <row r="35" spans="1:9" ht="15.75" x14ac:dyDescent="0.25">
      <c r="A35" s="73" t="s">
        <v>47</v>
      </c>
      <c r="B35" s="224" t="str">
        <f>IF(B34&gt;3,"Sind Sie sicher?"," ")</f>
        <v xml:space="preserve"> </v>
      </c>
      <c r="C35" s="46"/>
      <c r="D35" s="71"/>
      <c r="H35" s="15"/>
    </row>
    <row r="36" spans="1:9" ht="17.25" customHeight="1" x14ac:dyDescent="0.25">
      <c r="A36" s="70" t="s">
        <v>69</v>
      </c>
      <c r="B36" s="388" t="s">
        <v>54</v>
      </c>
      <c r="C36" s="46">
        <f>VLOOKUP(B36,J23:K24,2,FALSE)</f>
        <v>0</v>
      </c>
      <c r="D36" s="74" t="s">
        <v>70</v>
      </c>
      <c r="H36" s="15"/>
    </row>
    <row r="37" spans="1:9" ht="33" customHeight="1" x14ac:dyDescent="0.25">
      <c r="A37" s="70"/>
      <c r="B37" s="146" t="s">
        <v>355</v>
      </c>
      <c r="C37" s="318">
        <v>12</v>
      </c>
      <c r="D37" s="192" t="s">
        <v>384</v>
      </c>
      <c r="H37" s="15"/>
    </row>
    <row r="38" spans="1:9" ht="26.25" customHeight="1" thickBot="1" x14ac:dyDescent="0.3">
      <c r="A38" s="75"/>
      <c r="B38" s="76" t="s">
        <v>550</v>
      </c>
      <c r="C38" s="46"/>
      <c r="D38" s="77" t="s">
        <v>64</v>
      </c>
    </row>
    <row r="39" spans="1:9" ht="20.25" customHeight="1" x14ac:dyDescent="0.25">
      <c r="A39" s="78" t="s">
        <v>61</v>
      </c>
      <c r="B39" s="42">
        <f>B41*0.5+C32*0.6</f>
        <v>87.253440000000012</v>
      </c>
      <c r="C39" s="230">
        <f>B39-C11-C12*0.67+C36</f>
        <v>65.553440000000009</v>
      </c>
      <c r="D39" s="39" t="s">
        <v>721</v>
      </c>
    </row>
    <row r="40" spans="1:9" ht="20.25" customHeight="1" thickBot="1" x14ac:dyDescent="0.3">
      <c r="A40" s="78" t="s">
        <v>798</v>
      </c>
      <c r="B40" s="19">
        <f>B41*0.5+C32*0.4</f>
        <v>86.453440000000001</v>
      </c>
      <c r="C40" s="232">
        <f>B40-C12*0.33-C13*0.5-C14*0.75-C15*0.75-C16*0.6-C31-C34*0.75-C36</f>
        <v>80.653440000000003</v>
      </c>
      <c r="D40" s="100" t="s">
        <v>799</v>
      </c>
    </row>
    <row r="41" spans="1:9" ht="27.75" thickBot="1" x14ac:dyDescent="0.3">
      <c r="A41" s="66" t="s">
        <v>387</v>
      </c>
      <c r="B41" s="98">
        <f>(C55+C57)*1.22</f>
        <v>169.70688000000001</v>
      </c>
      <c r="C41" s="239">
        <f>C39+C40</f>
        <v>146.20688000000001</v>
      </c>
      <c r="D41" s="654" t="str">
        <f>IF(C41&gt;C18,"Obergrenze einhalten!!!"," ")</f>
        <v xml:space="preserve"> </v>
      </c>
    </row>
    <row r="42" spans="1:9" ht="9" customHeight="1" x14ac:dyDescent="0.25">
      <c r="A42" s="114"/>
      <c r="B42" s="42"/>
      <c r="C42" s="10"/>
      <c r="D42" s="21"/>
    </row>
    <row r="43" spans="1:9" ht="30" customHeight="1" x14ac:dyDescent="0.25">
      <c r="A43" s="302"/>
      <c r="B43" s="68"/>
      <c r="C43" s="303" t="s">
        <v>729</v>
      </c>
      <c r="D43" s="304"/>
      <c r="F43" s="519" t="s">
        <v>183</v>
      </c>
      <c r="G43" s="122" t="s">
        <v>186</v>
      </c>
    </row>
    <row r="44" spans="1:9" ht="18.75" customHeight="1" x14ac:dyDescent="0.25">
      <c r="A44" s="127"/>
      <c r="B44" s="141" t="s">
        <v>42</v>
      </c>
      <c r="C44" s="132">
        <f>C18</f>
        <v>150</v>
      </c>
      <c r="D44" s="305" t="s">
        <v>4</v>
      </c>
      <c r="F44" s="60" t="s">
        <v>179</v>
      </c>
      <c r="G44" s="60">
        <v>90</v>
      </c>
      <c r="H44" s="122"/>
      <c r="I44" s="122"/>
    </row>
    <row r="45" spans="1:9" ht="18.75" customHeight="1" x14ac:dyDescent="0.25">
      <c r="A45" s="1602" t="s">
        <v>711</v>
      </c>
      <c r="B45" s="615" t="s">
        <v>710</v>
      </c>
      <c r="C45" s="620">
        <v>0</v>
      </c>
      <c r="D45" s="618" t="s">
        <v>491</v>
      </c>
      <c r="F45" s="60" t="s">
        <v>814</v>
      </c>
      <c r="G45" s="60">
        <v>70</v>
      </c>
      <c r="H45" s="611"/>
      <c r="I45" s="611"/>
    </row>
    <row r="46" spans="1:9" ht="18.75" customHeight="1" x14ac:dyDescent="0.25">
      <c r="A46" s="1603"/>
      <c r="B46" s="616" t="s">
        <v>713</v>
      </c>
      <c r="C46" s="612">
        <v>0</v>
      </c>
      <c r="D46" s="309" t="s">
        <v>492</v>
      </c>
      <c r="F46" s="60" t="s">
        <v>815</v>
      </c>
      <c r="G46" s="60">
        <v>70</v>
      </c>
      <c r="H46" s="611"/>
      <c r="I46" s="611"/>
    </row>
    <row r="47" spans="1:9" ht="18.75" customHeight="1" x14ac:dyDescent="0.25">
      <c r="A47" s="664" t="s">
        <v>827</v>
      </c>
      <c r="B47" s="246" t="s">
        <v>714</v>
      </c>
      <c r="C47" s="619">
        <v>0</v>
      </c>
      <c r="D47" s="309" t="s">
        <v>260</v>
      </c>
      <c r="F47" s="60" t="s">
        <v>819</v>
      </c>
      <c r="G47" s="519">
        <v>70</v>
      </c>
      <c r="H47" s="611"/>
      <c r="I47" s="611"/>
    </row>
    <row r="48" spans="1:9" ht="18.75" customHeight="1" x14ac:dyDescent="0.25">
      <c r="A48" s="1602" t="s">
        <v>712</v>
      </c>
      <c r="B48" s="615" t="s">
        <v>715</v>
      </c>
      <c r="C48" s="612">
        <v>0</v>
      </c>
      <c r="D48" s="618" t="s">
        <v>491</v>
      </c>
      <c r="F48" s="519" t="s">
        <v>820</v>
      </c>
      <c r="G48" s="519">
        <v>60</v>
      </c>
      <c r="H48" s="611"/>
      <c r="I48" s="611"/>
    </row>
    <row r="49" spans="1:11" ht="18.75" customHeight="1" x14ac:dyDescent="0.25">
      <c r="A49" s="1603"/>
      <c r="B49" s="616" t="s">
        <v>716</v>
      </c>
      <c r="C49" s="612">
        <v>0</v>
      </c>
      <c r="D49" s="309" t="s">
        <v>492</v>
      </c>
      <c r="F49" s="60" t="s">
        <v>48</v>
      </c>
      <c r="G49" s="519">
        <v>60</v>
      </c>
      <c r="H49" s="611"/>
      <c r="I49" s="611"/>
    </row>
    <row r="50" spans="1:11" ht="18.75" customHeight="1" x14ac:dyDescent="0.25">
      <c r="A50" s="664" t="s">
        <v>827</v>
      </c>
      <c r="B50" s="617" t="s">
        <v>717</v>
      </c>
      <c r="C50" s="612">
        <v>0</v>
      </c>
      <c r="D50" s="309" t="s">
        <v>260</v>
      </c>
      <c r="F50" s="60" t="s">
        <v>821</v>
      </c>
      <c r="G50" s="60">
        <v>45</v>
      </c>
      <c r="H50" s="611"/>
      <c r="I50" s="611"/>
    </row>
    <row r="51" spans="1:11" ht="18.75" customHeight="1" x14ac:dyDescent="0.25">
      <c r="A51" s="70"/>
      <c r="B51" s="112" t="s">
        <v>261</v>
      </c>
      <c r="C51" s="308">
        <f>(C45*C46*C47/100)+(C48*C49*C50/100)</f>
        <v>0</v>
      </c>
      <c r="D51" s="310" t="s">
        <v>4</v>
      </c>
      <c r="F51" s="519" t="s">
        <v>816</v>
      </c>
      <c r="G51" s="519">
        <v>30</v>
      </c>
      <c r="H51" s="611"/>
      <c r="I51" s="611"/>
    </row>
    <row r="52" spans="1:11" ht="18.75" customHeight="1" x14ac:dyDescent="0.25">
      <c r="A52" s="306"/>
      <c r="B52" s="307" t="s">
        <v>136</v>
      </c>
      <c r="C52" s="308">
        <f>C44-C51</f>
        <v>150</v>
      </c>
      <c r="D52" s="311" t="s">
        <v>4</v>
      </c>
      <c r="F52" s="60" t="s">
        <v>1034</v>
      </c>
      <c r="G52" s="519">
        <v>30</v>
      </c>
      <c r="H52" s="611"/>
      <c r="I52" s="611"/>
    </row>
    <row r="53" spans="1:11" ht="18.75" customHeight="1" x14ac:dyDescent="0.25">
      <c r="B53" s="18"/>
      <c r="C53" s="19"/>
      <c r="D53" s="20"/>
      <c r="F53" s="60" t="s">
        <v>187</v>
      </c>
      <c r="G53" s="519">
        <v>30</v>
      </c>
      <c r="H53" s="611"/>
      <c r="I53" s="611"/>
    </row>
    <row r="54" spans="1:11" ht="18.75" customHeight="1" x14ac:dyDescent="0.25">
      <c r="A54" s="67"/>
      <c r="B54" s="68"/>
      <c r="C54" s="312" t="s">
        <v>60</v>
      </c>
      <c r="D54" s="69"/>
      <c r="E54" s="13"/>
      <c r="F54" s="60" t="s">
        <v>823</v>
      </c>
      <c r="G54" s="519">
        <v>30</v>
      </c>
      <c r="H54" s="611"/>
      <c r="I54" s="611"/>
    </row>
    <row r="55" spans="1:11" ht="18.75" customHeight="1" x14ac:dyDescent="0.25">
      <c r="A55" s="70"/>
      <c r="B55" s="41" t="s">
        <v>12</v>
      </c>
      <c r="C55" s="185">
        <f>C7*0.86*C37/6.25</f>
        <v>115.584</v>
      </c>
      <c r="D55" s="92" t="str">
        <f>IF(C55&gt;200,"mehr als 200 kg Korn-N/ha ist unrealistisch!","Korn-N-Abfuhr")</f>
        <v>Korn-N-Abfuhr</v>
      </c>
      <c r="F55" s="60" t="s">
        <v>824</v>
      </c>
      <c r="G55" s="519">
        <v>30</v>
      </c>
      <c r="H55" s="611"/>
      <c r="I55" s="611"/>
    </row>
    <row r="56" spans="1:11" ht="18.75" customHeight="1" x14ac:dyDescent="0.25">
      <c r="A56" s="70"/>
      <c r="B56" s="81" t="s">
        <v>14</v>
      </c>
      <c r="C56" s="186">
        <f>(105-0.5*C7)/100</f>
        <v>0.7</v>
      </c>
      <c r="D56" s="82" t="s">
        <v>344</v>
      </c>
      <c r="F56" s="60" t="s">
        <v>825</v>
      </c>
      <c r="G56" s="519">
        <v>30</v>
      </c>
      <c r="H56" s="611"/>
      <c r="I56" s="611"/>
    </row>
    <row r="57" spans="1:11" ht="18.75" customHeight="1" x14ac:dyDescent="0.25">
      <c r="A57" s="70"/>
      <c r="B57" s="41" t="s">
        <v>13</v>
      </c>
      <c r="C57" s="50">
        <f>C7*C56*C37/25</f>
        <v>23.52</v>
      </c>
      <c r="D57" s="71"/>
      <c r="F57" s="60" t="s">
        <v>180</v>
      </c>
      <c r="G57" s="519">
        <v>25</v>
      </c>
      <c r="H57" s="611"/>
      <c r="I57" s="611"/>
      <c r="J57" s="80"/>
      <c r="K57" s="80"/>
    </row>
    <row r="58" spans="1:11" ht="18.75" customHeight="1" x14ac:dyDescent="0.25">
      <c r="A58" s="26" t="s">
        <v>68</v>
      </c>
      <c r="B58" s="41" t="s">
        <v>65</v>
      </c>
      <c r="C58" s="101">
        <f>C41-C55</f>
        <v>30.622880000000009</v>
      </c>
      <c r="D58" s="84" t="s">
        <v>4</v>
      </c>
      <c r="F58" s="60" t="s">
        <v>817</v>
      </c>
      <c r="G58" s="519">
        <v>25</v>
      </c>
      <c r="H58" s="611"/>
      <c r="I58" s="611"/>
    </row>
    <row r="59" spans="1:11" ht="18.75" customHeight="1" x14ac:dyDescent="0.25">
      <c r="A59" s="629" t="s">
        <v>739</v>
      </c>
      <c r="B59" s="41" t="s">
        <v>66</v>
      </c>
      <c r="C59" s="187">
        <f>C41-C55-C57</f>
        <v>7.1028800000000096</v>
      </c>
      <c r="D59" s="84" t="s">
        <v>4</v>
      </c>
      <c r="F59" s="519" t="s">
        <v>818</v>
      </c>
      <c r="G59" s="519">
        <v>25</v>
      </c>
    </row>
    <row r="60" spans="1:11" ht="18.75" customHeight="1" x14ac:dyDescent="0.25">
      <c r="A60" s="630" t="s">
        <v>67</v>
      </c>
      <c r="B60" s="41" t="s">
        <v>65</v>
      </c>
      <c r="C60" s="187">
        <f>C18-C55</f>
        <v>34.415999999999997</v>
      </c>
      <c r="D60" s="84" t="s">
        <v>4</v>
      </c>
      <c r="F60" s="519" t="s">
        <v>826</v>
      </c>
      <c r="G60" s="519">
        <v>10</v>
      </c>
    </row>
    <row r="61" spans="1:11" ht="18.75" customHeight="1" x14ac:dyDescent="0.25">
      <c r="A61" s="729" t="s">
        <v>739</v>
      </c>
      <c r="B61" s="85" t="s">
        <v>66</v>
      </c>
      <c r="C61" s="188">
        <f>C18-C55-C57</f>
        <v>10.895999999999997</v>
      </c>
      <c r="D61" s="87" t="s">
        <v>4</v>
      </c>
      <c r="F61" s="519" t="s">
        <v>181</v>
      </c>
      <c r="G61" s="519">
        <v>10</v>
      </c>
    </row>
    <row r="62" spans="1:11" ht="18.75" customHeight="1" x14ac:dyDescent="0.25">
      <c r="A62" s="730"/>
      <c r="B62" s="41"/>
      <c r="C62" s="42"/>
      <c r="D62" s="731"/>
      <c r="F62" s="519" t="s">
        <v>188</v>
      </c>
      <c r="G62" s="519">
        <v>5</v>
      </c>
    </row>
    <row r="63" spans="1:11" ht="18.75" customHeight="1" x14ac:dyDescent="0.25">
      <c r="A63" s="730"/>
      <c r="B63" s="41"/>
      <c r="C63" s="42"/>
      <c r="D63" s="731"/>
      <c r="F63" s="519" t="s">
        <v>182</v>
      </c>
      <c r="G63" s="519">
        <v>3</v>
      </c>
    </row>
    <row r="64" spans="1:11" ht="21" customHeight="1" x14ac:dyDescent="0.25">
      <c r="B64" s="1360"/>
      <c r="C64" s="1293"/>
      <c r="D64" s="1293"/>
    </row>
    <row r="65" spans="1:8" ht="17.25" customHeight="1" x14ac:dyDescent="0.25"/>
    <row r="66" spans="1:8" ht="16.5" customHeight="1" x14ac:dyDescent="0.25">
      <c r="A66" s="91" t="s">
        <v>167</v>
      </c>
      <c r="B66" s="89"/>
      <c r="C66" s="313"/>
    </row>
    <row r="67" spans="1:8" ht="43.5" customHeight="1" x14ac:dyDescent="0.25">
      <c r="A67" s="661" t="s">
        <v>334</v>
      </c>
      <c r="B67" s="1596" t="s">
        <v>388</v>
      </c>
      <c r="C67" s="1267"/>
      <c r="D67" s="1267"/>
    </row>
    <row r="68" spans="1:8" ht="18.75" customHeight="1" x14ac:dyDescent="0.25">
      <c r="A68" s="661"/>
      <c r="B68" s="88" t="s">
        <v>385</v>
      </c>
      <c r="C68" s="90" t="s">
        <v>386</v>
      </c>
    </row>
    <row r="69" spans="1:8" ht="22.5" customHeight="1" x14ac:dyDescent="0.25">
      <c r="A69" s="661"/>
      <c r="B69" s="88" t="s">
        <v>349</v>
      </c>
      <c r="C69" s="90" t="s">
        <v>350</v>
      </c>
      <c r="E69" s="80"/>
    </row>
    <row r="70" spans="1:8" ht="16.5" customHeight="1" x14ac:dyDescent="0.25">
      <c r="A70" s="661"/>
      <c r="B70" s="15"/>
      <c r="C70" s="15"/>
      <c r="E70" s="80"/>
      <c r="F70" s="1597" t="s">
        <v>371</v>
      </c>
    </row>
    <row r="71" spans="1:8" ht="94.5" customHeight="1" x14ac:dyDescent="0.25">
      <c r="A71" s="661" t="s">
        <v>330</v>
      </c>
      <c r="B71" s="1596" t="s">
        <v>389</v>
      </c>
      <c r="C71" s="1463"/>
      <c r="D71" s="1463"/>
      <c r="E71" s="400"/>
      <c r="F71" s="1597"/>
      <c r="G71" s="1293" t="s">
        <v>339</v>
      </c>
    </row>
    <row r="72" spans="1:8" ht="24.75" customHeight="1" x14ac:dyDescent="0.25">
      <c r="A72" s="661"/>
      <c r="B72" s="89"/>
      <c r="C72" s="313"/>
      <c r="E72" s="659"/>
      <c r="G72" s="1293"/>
    </row>
    <row r="73" spans="1:8" ht="25.5" customHeight="1" x14ac:dyDescent="0.25">
      <c r="A73" s="661"/>
      <c r="B73" s="88" t="s">
        <v>411</v>
      </c>
      <c r="C73" s="313"/>
      <c r="D73" s="80" t="s">
        <v>336</v>
      </c>
    </row>
    <row r="74" spans="1:8" ht="24.75" customHeight="1" x14ac:dyDescent="0.25">
      <c r="A74" s="661" t="s">
        <v>168</v>
      </c>
      <c r="B74" s="88" t="s">
        <v>424</v>
      </c>
      <c r="C74" s="313"/>
      <c r="D74" s="313" t="s">
        <v>800</v>
      </c>
      <c r="F74" s="80"/>
      <c r="H74" s="15"/>
    </row>
    <row r="75" spans="1:8" ht="90" x14ac:dyDescent="0.25">
      <c r="A75" s="661" t="s">
        <v>169</v>
      </c>
      <c r="B75" s="88" t="s">
        <v>425</v>
      </c>
      <c r="C75" s="313"/>
      <c r="D75" s="613" t="s">
        <v>801</v>
      </c>
      <c r="F75" s="80"/>
      <c r="H75" s="15"/>
    </row>
    <row r="76" spans="1:8" ht="18.75" customHeight="1" x14ac:dyDescent="0.25">
      <c r="A76" s="661" t="s">
        <v>346</v>
      </c>
      <c r="B76" s="88" t="s">
        <v>337</v>
      </c>
      <c r="C76" s="90"/>
      <c r="D76" s="15" t="s">
        <v>373</v>
      </c>
      <c r="F76" s="80"/>
      <c r="H76" s="15"/>
    </row>
    <row r="77" spans="1:8" ht="21.75" customHeight="1" x14ac:dyDescent="0.25">
      <c r="A77" s="41" t="s">
        <v>416</v>
      </c>
      <c r="B77" s="15" t="s">
        <v>341</v>
      </c>
      <c r="C77" s="15"/>
      <c r="F77" s="80"/>
      <c r="H77" s="15"/>
    </row>
    <row r="78" spans="1:8" x14ac:dyDescent="0.25">
      <c r="B78" s="15" t="s">
        <v>340</v>
      </c>
      <c r="C78" s="15"/>
    </row>
    <row r="79" spans="1:8" ht="9.75" customHeight="1" x14ac:dyDescent="0.25">
      <c r="B79" s="15"/>
      <c r="C79" s="15"/>
    </row>
    <row r="80" spans="1:8" x14ac:dyDescent="0.25">
      <c r="A80" s="661" t="s">
        <v>417</v>
      </c>
      <c r="B80" s="15" t="s">
        <v>345</v>
      </c>
      <c r="C80" s="15"/>
    </row>
    <row r="81" spans="2:3" x14ac:dyDescent="0.25">
      <c r="B81" s="15" t="s">
        <v>391</v>
      </c>
      <c r="C81" s="15"/>
    </row>
  </sheetData>
  <sheetProtection sheet="1" formatCells="0" formatColumns="0" formatRows="0" selectLockedCells="1"/>
  <mergeCells count="16">
    <mergeCell ref="A48:A49"/>
    <mergeCell ref="A29:B30"/>
    <mergeCell ref="D29:D30"/>
    <mergeCell ref="A45:A46"/>
    <mergeCell ref="A5:D5"/>
    <mergeCell ref="A6:B6"/>
    <mergeCell ref="A20:B20"/>
    <mergeCell ref="A21:A25"/>
    <mergeCell ref="A26:A27"/>
    <mergeCell ref="B26:B27"/>
    <mergeCell ref="C26:D27"/>
    <mergeCell ref="B64:D64"/>
    <mergeCell ref="B67:D67"/>
    <mergeCell ref="F70:F71"/>
    <mergeCell ref="B71:D71"/>
    <mergeCell ref="G71:G72"/>
  </mergeCells>
  <dataValidations count="7">
    <dataValidation type="list" allowBlank="1" sqref="B14" xr:uid="{00000000-0002-0000-1500-000000000000}">
      <formula1>$G$22:$G$32</formula1>
    </dataValidation>
    <dataValidation type="list" allowBlank="1" sqref="B36" xr:uid="{00000000-0002-0000-1500-000001000000}">
      <formula1>Witterung</formula1>
    </dataValidation>
    <dataValidation type="list" allowBlank="1" sqref="B33" xr:uid="{00000000-0002-0000-1500-000002000000}">
      <formula1>J12:J18</formula1>
    </dataValidation>
    <dataValidation type="list" allowBlank="1" sqref="C37" xr:uid="{00000000-0002-0000-1500-000003000000}">
      <mc:AlternateContent xmlns:x12ac="http://schemas.microsoft.com/office/spreadsheetml/2011/1/ac" xmlns:mc="http://schemas.openxmlformats.org/markup-compatibility/2006">
        <mc:Choice Requires="x12ac">
          <x12ac:list>8,"8,5",9,"9,5",10,"10,5",11,"11,5",12,"12,5",13,"13,5",14,"14,5"</x12ac:list>
        </mc:Choice>
        <mc:Fallback>
          <formula1>"8,8,5,9,9,5,10,10,5,11,11,5,12,12,5,13,13,5,14,14,5"</formula1>
        </mc:Fallback>
      </mc:AlternateContent>
    </dataValidation>
    <dataValidation type="list" allowBlank="1" sqref="B17" xr:uid="{00000000-0002-0000-1500-000004000000}">
      <formula1>"bis 4 %, größer 4 %"</formula1>
    </dataValidation>
    <dataValidation type="list" allowBlank="1" sqref="J8:J9" xr:uid="{00000000-0002-0000-1500-000005000000}">
      <formula1>"Humusgehalt"</formula1>
    </dataValidation>
    <dataValidation type="list" allowBlank="1" sqref="B15" xr:uid="{00000000-0002-0000-1500-000006000000}">
      <formula1>Vorfrucht</formula1>
    </dataValidation>
  </dataValidations>
  <pageMargins left="0.7" right="0.7" top="0.78740157499999996" bottom="0.78740157499999996" header="0.3" footer="0.3"/>
  <pageSetup paperSize="9" scale="66" orientation="portrait" horizontalDpi="4294967293" verticalDpi="4294967293"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23">
    <tabColor theme="0"/>
    <pageSetUpPr fitToPage="1"/>
  </sheetPr>
  <dimension ref="A1:K94"/>
  <sheetViews>
    <sheetView zoomScaleNormal="100" workbookViewId="0">
      <selection activeCell="C7" sqref="C7"/>
    </sheetView>
  </sheetViews>
  <sheetFormatPr baseColWidth="10" defaultRowHeight="15" x14ac:dyDescent="0.25"/>
  <cols>
    <col min="1" max="1" width="39.85546875" style="41" customWidth="1"/>
    <col min="2" max="2" width="39" style="112" customWidth="1"/>
    <col min="3" max="3" width="29.42578125" style="80" customWidth="1"/>
    <col min="4" max="4" width="31.7109375" style="15" customWidth="1"/>
    <col min="5" max="5" width="24.5703125" style="15" customWidth="1"/>
    <col min="6" max="6" width="39" style="15" customWidth="1"/>
    <col min="7" max="7" width="36" style="15" customWidth="1"/>
    <col min="8" max="8" width="22.85546875" style="80" customWidth="1"/>
    <col min="9" max="9" width="23.85546875" style="15" customWidth="1"/>
    <col min="10" max="10" width="37.85546875" style="15" customWidth="1"/>
    <col min="11" max="11" width="21" style="15" customWidth="1"/>
    <col min="12" max="16384" width="11.42578125" style="15"/>
  </cols>
  <sheetData>
    <row r="1" spans="1:11" x14ac:dyDescent="0.25">
      <c r="B1" s="112" t="str">
        <f>'DüV-N-Ackerbau (1)'!C1</f>
        <v>Testbetrieb</v>
      </c>
      <c r="C1" s="112" t="str">
        <f>'DüV-N-Ackerbau (1)'!F1</f>
        <v>Erntejahr</v>
      </c>
      <c r="E1" s="11" t="s">
        <v>36</v>
      </c>
    </row>
    <row r="2" spans="1:11" x14ac:dyDescent="0.25">
      <c r="B2" s="112">
        <f>'DüV-N-Ackerbau (1)'!C2</f>
        <v>1</v>
      </c>
      <c r="C2" s="112">
        <f>'DüV-N-Ackerbau (1)'!G1</f>
        <v>2022</v>
      </c>
      <c r="E2" s="12" t="s">
        <v>34</v>
      </c>
    </row>
    <row r="3" spans="1:11" x14ac:dyDescent="0.25">
      <c r="B3" s="112">
        <f>'DüV-N-Ackerbau (1)'!C3</f>
        <v>123456</v>
      </c>
      <c r="C3" s="41"/>
    </row>
    <row r="4" spans="1:11" ht="6" customHeight="1" thickBot="1" x14ac:dyDescent="0.3"/>
    <row r="5" spans="1:11" ht="21.75" thickBot="1" x14ac:dyDescent="0.3">
      <c r="A5" s="1604" t="s">
        <v>512</v>
      </c>
      <c r="B5" s="1605"/>
      <c r="C5" s="1605"/>
      <c r="D5" s="1606"/>
    </row>
    <row r="6" spans="1:11" ht="48" thickBot="1" x14ac:dyDescent="0.3">
      <c r="A6" s="1607" t="s">
        <v>581</v>
      </c>
      <c r="B6" s="1608"/>
      <c r="C6" s="280" t="s">
        <v>579</v>
      </c>
      <c r="D6" s="346" t="s">
        <v>533</v>
      </c>
      <c r="G6" s="352"/>
      <c r="H6" s="351" t="s">
        <v>5</v>
      </c>
      <c r="I6" s="352"/>
      <c r="J6" s="352"/>
      <c r="K6" s="352"/>
    </row>
    <row r="7" spans="1:11" ht="15.75" x14ac:dyDescent="0.25">
      <c r="A7" s="59"/>
      <c r="B7" s="41" t="s">
        <v>677</v>
      </c>
      <c r="C7" s="323">
        <v>70</v>
      </c>
      <c r="D7" s="315"/>
      <c r="G7" s="351" t="s">
        <v>6</v>
      </c>
      <c r="H7" s="352"/>
      <c r="I7" s="352"/>
      <c r="J7" s="352" t="s">
        <v>159</v>
      </c>
      <c r="K7" s="352"/>
    </row>
    <row r="8" spans="1:11" ht="15.75" x14ac:dyDescent="0.25">
      <c r="A8" s="59"/>
      <c r="B8" s="41"/>
      <c r="C8" s="347" t="str">
        <f>IF(OR(C7&lt;30,C7&gt;150),"Sind Sie sicher?"," ")</f>
        <v xml:space="preserve"> </v>
      </c>
      <c r="D8" s="315"/>
      <c r="G8" s="352" t="s">
        <v>510</v>
      </c>
      <c r="H8" s="352">
        <v>0</v>
      </c>
      <c r="I8" s="352"/>
      <c r="J8" s="352" t="s">
        <v>160</v>
      </c>
      <c r="K8" s="352">
        <v>0</v>
      </c>
    </row>
    <row r="9" spans="1:11" ht="15.75" x14ac:dyDescent="0.25">
      <c r="A9" s="59"/>
      <c r="B9" s="41"/>
      <c r="C9" s="343" t="s">
        <v>4</v>
      </c>
      <c r="D9" s="315"/>
      <c r="G9" s="352" t="s">
        <v>22</v>
      </c>
      <c r="H9" s="352">
        <v>10</v>
      </c>
      <c r="I9" s="352"/>
      <c r="J9" s="352" t="s">
        <v>161</v>
      </c>
      <c r="K9" s="352">
        <v>20</v>
      </c>
    </row>
    <row r="10" spans="1:11" ht="15.75" x14ac:dyDescent="0.25">
      <c r="A10" s="59"/>
      <c r="B10" s="41" t="s">
        <v>37</v>
      </c>
      <c r="C10" s="345">
        <f>IF(C7&lt;=69,75+C7*1.5,(IF(C7&gt;=70,110+C7)))</f>
        <v>180</v>
      </c>
      <c r="D10" s="316"/>
      <c r="G10" s="352" t="s">
        <v>535</v>
      </c>
      <c r="H10" s="352">
        <v>10</v>
      </c>
      <c r="I10" s="352"/>
      <c r="J10" s="352"/>
      <c r="K10" s="352"/>
    </row>
    <row r="11" spans="1:11" ht="18" x14ac:dyDescent="0.25">
      <c r="A11" s="59"/>
      <c r="B11" s="41" t="s">
        <v>38</v>
      </c>
      <c r="C11" s="359">
        <v>15</v>
      </c>
      <c r="D11" s="316"/>
      <c r="G11" s="352" t="s">
        <v>7</v>
      </c>
      <c r="H11" s="352">
        <v>10</v>
      </c>
      <c r="I11" s="352"/>
      <c r="J11" s="351" t="s">
        <v>49</v>
      </c>
      <c r="K11" s="352"/>
    </row>
    <row r="12" spans="1:11" ht="18" x14ac:dyDescent="0.25">
      <c r="A12" s="59"/>
      <c r="B12" s="41" t="s">
        <v>39</v>
      </c>
      <c r="C12" s="359">
        <v>10</v>
      </c>
      <c r="D12" s="316"/>
      <c r="G12" s="352" t="s">
        <v>17</v>
      </c>
      <c r="H12" s="352">
        <v>20</v>
      </c>
      <c r="I12" s="352"/>
      <c r="J12" s="971" t="s">
        <v>1225</v>
      </c>
      <c r="K12" s="971">
        <v>1</v>
      </c>
    </row>
    <row r="13" spans="1:11" ht="18" x14ac:dyDescent="0.25">
      <c r="A13" s="59"/>
      <c r="B13" s="41" t="s">
        <v>40</v>
      </c>
      <c r="C13" s="359">
        <v>5</v>
      </c>
      <c r="D13" s="316"/>
      <c r="G13" s="352" t="s">
        <v>23</v>
      </c>
      <c r="H13" s="352">
        <v>0</v>
      </c>
      <c r="I13" s="352"/>
      <c r="J13" s="971" t="s">
        <v>184</v>
      </c>
      <c r="K13" s="971">
        <v>0.5</v>
      </c>
    </row>
    <row r="14" spans="1:11" x14ac:dyDescent="0.25">
      <c r="A14" s="59" t="s">
        <v>8</v>
      </c>
      <c r="B14" s="292" t="s">
        <v>31</v>
      </c>
      <c r="C14" s="128">
        <f>VLOOKUP(B14,G22:H32,2,FALSE)</f>
        <v>0</v>
      </c>
      <c r="D14" s="316"/>
      <c r="G14" s="352" t="s">
        <v>20</v>
      </c>
      <c r="H14" s="352">
        <v>20</v>
      </c>
      <c r="I14" s="352"/>
      <c r="J14" s="971" t="s">
        <v>1227</v>
      </c>
      <c r="K14" s="971">
        <v>0.6</v>
      </c>
    </row>
    <row r="15" spans="1:11" x14ac:dyDescent="0.25">
      <c r="A15" s="59" t="s">
        <v>6</v>
      </c>
      <c r="B15" s="292" t="s">
        <v>510</v>
      </c>
      <c r="C15" s="128">
        <f>VLOOKUP(B15,G8:H18,2,FALSE)</f>
        <v>0</v>
      </c>
      <c r="D15" s="316"/>
      <c r="G15" s="352" t="s">
        <v>19</v>
      </c>
      <c r="H15" s="352">
        <v>10</v>
      </c>
      <c r="I15" s="352"/>
      <c r="J15" s="971" t="s">
        <v>1228</v>
      </c>
      <c r="K15" s="971">
        <v>0.4</v>
      </c>
    </row>
    <row r="16" spans="1:11" ht="15.75" x14ac:dyDescent="0.25">
      <c r="A16" s="59" t="s">
        <v>1073</v>
      </c>
      <c r="B16" s="112" t="s">
        <v>24</v>
      </c>
      <c r="C16" s="703"/>
      <c r="D16" s="316"/>
      <c r="E16" s="358" t="str">
        <f>IF(C16&gt;20,"Sind Sie sicher?"," ")</f>
        <v xml:space="preserve"> </v>
      </c>
      <c r="G16" s="352" t="s">
        <v>536</v>
      </c>
      <c r="H16" s="352">
        <v>0</v>
      </c>
      <c r="I16" s="352"/>
      <c r="J16" s="971" t="s">
        <v>1226</v>
      </c>
      <c r="K16" s="971">
        <v>0.35</v>
      </c>
    </row>
    <row r="17" spans="1:11" ht="15.75" thickBot="1" x14ac:dyDescent="0.3">
      <c r="A17" s="59" t="s">
        <v>159</v>
      </c>
      <c r="B17" s="292" t="s">
        <v>160</v>
      </c>
      <c r="C17" s="702">
        <f>VLOOKUP(B17,J8:K9,2,FALSE)</f>
        <v>0</v>
      </c>
      <c r="D17" s="317"/>
      <c r="G17" s="352" t="s">
        <v>21</v>
      </c>
      <c r="H17" s="352">
        <v>10</v>
      </c>
      <c r="I17" s="352"/>
      <c r="J17" s="971" t="s">
        <v>48</v>
      </c>
      <c r="K17" s="971">
        <v>0.3</v>
      </c>
    </row>
    <row r="18" spans="1:11" ht="16.5" thickBot="1" x14ac:dyDescent="0.3">
      <c r="A18" s="242"/>
      <c r="B18" s="243" t="s">
        <v>475</v>
      </c>
      <c r="C18" s="239">
        <f>C10-SUM(C11:C17)</f>
        <v>150</v>
      </c>
      <c r="D18" s="244" t="s">
        <v>477</v>
      </c>
      <c r="G18" s="352" t="s">
        <v>18</v>
      </c>
      <c r="H18" s="352">
        <v>20</v>
      </c>
      <c r="I18" s="352"/>
      <c r="J18" s="971" t="s">
        <v>31</v>
      </c>
      <c r="K18" s="971">
        <v>0</v>
      </c>
    </row>
    <row r="19" spans="1:11" ht="9" customHeight="1" thickBot="1" x14ac:dyDescent="0.3">
      <c r="B19" s="141"/>
      <c r="C19" s="10"/>
      <c r="D19" s="252"/>
      <c r="G19" s="352"/>
      <c r="H19" s="352"/>
      <c r="I19" s="352"/>
      <c r="J19" s="352"/>
      <c r="K19" s="352"/>
    </row>
    <row r="20" spans="1:11" ht="18" x14ac:dyDescent="0.25">
      <c r="A20" s="1607" t="s">
        <v>584</v>
      </c>
      <c r="B20" s="1609"/>
      <c r="C20" s="660" t="s">
        <v>593</v>
      </c>
      <c r="D20" s="444" t="s">
        <v>593</v>
      </c>
      <c r="G20" s="352"/>
      <c r="H20" s="352"/>
      <c r="I20" s="352"/>
      <c r="J20" s="352"/>
      <c r="K20" s="352"/>
    </row>
    <row r="21" spans="1:11" ht="21.75" customHeight="1" x14ac:dyDescent="0.25">
      <c r="A21" s="1610" t="s">
        <v>596</v>
      </c>
      <c r="B21" s="464" t="s">
        <v>585</v>
      </c>
      <c r="C21" s="462" t="s">
        <v>586</v>
      </c>
      <c r="D21" s="465" t="s">
        <v>587</v>
      </c>
      <c r="G21" s="351" t="s">
        <v>8</v>
      </c>
      <c r="H21" s="352"/>
      <c r="I21" s="352"/>
      <c r="J21" s="352"/>
      <c r="K21" s="352"/>
    </row>
    <row r="22" spans="1:11" ht="21.75" customHeight="1" x14ac:dyDescent="0.25">
      <c r="A22" s="1611"/>
      <c r="B22" s="442" t="s">
        <v>589</v>
      </c>
      <c r="C22" s="226">
        <f>C24*2</f>
        <v>112</v>
      </c>
      <c r="D22" s="443">
        <f>D24*2</f>
        <v>141.4</v>
      </c>
      <c r="G22" s="352" t="s">
        <v>31</v>
      </c>
      <c r="H22" s="352">
        <v>0</v>
      </c>
      <c r="I22" s="352"/>
      <c r="J22" s="351" t="s">
        <v>69</v>
      </c>
      <c r="K22" s="352"/>
    </row>
    <row r="23" spans="1:11" ht="21.75" customHeight="1" x14ac:dyDescent="0.25">
      <c r="A23" s="1611"/>
      <c r="B23" s="442" t="s">
        <v>590</v>
      </c>
      <c r="C23" s="226">
        <f>C24*1.5</f>
        <v>84</v>
      </c>
      <c r="D23" s="443">
        <f>D24*1.5</f>
        <v>106.05000000000001</v>
      </c>
      <c r="G23" s="352" t="s">
        <v>25</v>
      </c>
      <c r="H23" s="352">
        <v>0</v>
      </c>
      <c r="I23" s="352"/>
      <c r="J23" s="354" t="s">
        <v>53</v>
      </c>
      <c r="K23" s="354">
        <v>-10</v>
      </c>
    </row>
    <row r="24" spans="1:11" ht="21.75" customHeight="1" x14ac:dyDescent="0.25">
      <c r="A24" s="1611"/>
      <c r="B24" s="442" t="s">
        <v>591</v>
      </c>
      <c r="C24" s="446">
        <f>C7*0.8</f>
        <v>56</v>
      </c>
      <c r="D24" s="447">
        <f>C7*1.01</f>
        <v>70.7</v>
      </c>
      <c r="G24" s="352" t="s">
        <v>26</v>
      </c>
      <c r="H24" s="352">
        <v>0</v>
      </c>
      <c r="I24" s="352"/>
      <c r="J24" s="354" t="s">
        <v>54</v>
      </c>
      <c r="K24" s="354">
        <v>0</v>
      </c>
    </row>
    <row r="25" spans="1:11" ht="21.75" customHeight="1" x14ac:dyDescent="0.25">
      <c r="A25" s="1611"/>
      <c r="B25" s="442" t="s">
        <v>592</v>
      </c>
      <c r="C25" s="226">
        <f>C24*0.5</f>
        <v>28</v>
      </c>
      <c r="D25" s="443">
        <f>D24*0.5</f>
        <v>35.35</v>
      </c>
      <c r="G25" s="352" t="s">
        <v>27</v>
      </c>
      <c r="H25" s="352">
        <v>20</v>
      </c>
      <c r="I25" s="352"/>
      <c r="J25" s="354" t="s">
        <v>55</v>
      </c>
      <c r="K25" s="354">
        <v>10</v>
      </c>
    </row>
    <row r="26" spans="1:11" ht="27.75" customHeight="1" x14ac:dyDescent="0.25">
      <c r="A26" s="1620"/>
      <c r="B26" s="1622" t="s">
        <v>594</v>
      </c>
      <c r="C26" s="1616" t="s">
        <v>597</v>
      </c>
      <c r="D26" s="1617"/>
      <c r="G26" s="352" t="s">
        <v>28</v>
      </c>
      <c r="H26" s="352">
        <v>10</v>
      </c>
      <c r="I26" s="352"/>
      <c r="J26" s="352"/>
      <c r="K26" s="352"/>
    </row>
    <row r="27" spans="1:11" ht="26.25" customHeight="1" thickBot="1" x14ac:dyDescent="0.3">
      <c r="A27" s="1621"/>
      <c r="B27" s="1623"/>
      <c r="C27" s="1618"/>
      <c r="D27" s="1619"/>
      <c r="G27" s="352" t="s">
        <v>29</v>
      </c>
      <c r="H27" s="352">
        <v>10</v>
      </c>
      <c r="I27" s="352"/>
      <c r="J27" s="352"/>
      <c r="K27" s="352"/>
    </row>
    <row r="28" spans="1:11" ht="9.75" customHeight="1" thickBot="1" x14ac:dyDescent="0.3">
      <c r="B28" s="141"/>
      <c r="C28" s="10"/>
      <c r="D28" s="252"/>
      <c r="G28" s="352" t="s">
        <v>681</v>
      </c>
      <c r="H28" s="352">
        <v>30</v>
      </c>
      <c r="I28" s="352"/>
      <c r="J28" s="352"/>
      <c r="K28" s="352"/>
    </row>
    <row r="29" spans="1:11" ht="25.5" customHeight="1" thickBot="1" x14ac:dyDescent="0.3">
      <c r="A29" s="1604" t="s">
        <v>513</v>
      </c>
      <c r="B29" s="1605"/>
      <c r="C29" s="1605"/>
      <c r="D29" s="1606"/>
      <c r="E29" s="13"/>
      <c r="G29" s="352" t="s">
        <v>30</v>
      </c>
      <c r="H29" s="352">
        <v>40</v>
      </c>
      <c r="I29" s="352"/>
      <c r="J29" s="352"/>
      <c r="K29" s="352"/>
    </row>
    <row r="30" spans="1:11" ht="35.25" customHeight="1" thickBot="1" x14ac:dyDescent="0.3">
      <c r="A30" s="1630" t="s">
        <v>498</v>
      </c>
      <c r="B30" s="1631"/>
      <c r="C30" s="233" t="s">
        <v>551</v>
      </c>
      <c r="D30" s="207" t="s">
        <v>342</v>
      </c>
      <c r="G30" s="352" t="s">
        <v>9</v>
      </c>
      <c r="H30" s="352">
        <v>0</v>
      </c>
      <c r="I30" s="352"/>
      <c r="J30" s="352"/>
      <c r="K30" s="352"/>
    </row>
    <row r="31" spans="1:11" ht="24.75" customHeight="1" x14ac:dyDescent="0.25">
      <c r="A31" s="26"/>
      <c r="B31" s="8"/>
      <c r="C31" s="286" t="s">
        <v>495</v>
      </c>
      <c r="D31" s="194"/>
      <c r="G31" s="352" t="s">
        <v>10</v>
      </c>
      <c r="H31" s="352">
        <v>10</v>
      </c>
    </row>
    <row r="32" spans="1:11" ht="18" customHeight="1" x14ac:dyDescent="0.25">
      <c r="A32" s="26" t="s">
        <v>35</v>
      </c>
      <c r="B32" s="294">
        <v>60</v>
      </c>
      <c r="C32" s="201">
        <f>IF(OR(B32&lt;1,B32&gt;100),"Zahl 0 bis 100 eingeben",(-0.0025*B32*B32+0.75*B32-26)*0.6)</f>
        <v>6</v>
      </c>
      <c r="D32" s="71" t="s">
        <v>163</v>
      </c>
      <c r="G32" s="352" t="s">
        <v>31</v>
      </c>
      <c r="H32" s="352">
        <v>0</v>
      </c>
    </row>
    <row r="33" spans="1:9" ht="18" customHeight="1" x14ac:dyDescent="0.25">
      <c r="A33" s="70" t="s">
        <v>162</v>
      </c>
      <c r="B33" s="295">
        <v>200</v>
      </c>
      <c r="C33" s="50">
        <f>IF(OR(B33&lt;40,B33&gt;800),"gibt es nicht",(B33*0.025-1))</f>
        <v>4</v>
      </c>
      <c r="D33" s="71" t="s">
        <v>164</v>
      </c>
      <c r="F33" s="284"/>
      <c r="H33" s="15"/>
    </row>
    <row r="34" spans="1:9" ht="16.5" customHeight="1" x14ac:dyDescent="0.25">
      <c r="A34" s="26" t="s">
        <v>51</v>
      </c>
      <c r="B34" s="290" t="s">
        <v>31</v>
      </c>
      <c r="C34" s="103">
        <f>VLOOKUP(B34,J12:K18,2,FALSE)</f>
        <v>0</v>
      </c>
      <c r="D34" s="195" t="s">
        <v>50</v>
      </c>
      <c r="H34" s="15"/>
    </row>
    <row r="35" spans="1:9" ht="18" customHeight="1" x14ac:dyDescent="0.25">
      <c r="A35" s="26" t="s">
        <v>46</v>
      </c>
      <c r="B35" s="361">
        <v>0</v>
      </c>
      <c r="C35" s="47">
        <f>B35*10*C34</f>
        <v>0</v>
      </c>
      <c r="D35" s="71" t="s">
        <v>163</v>
      </c>
      <c r="H35" s="15"/>
    </row>
    <row r="36" spans="1:9" ht="16.5" customHeight="1" x14ac:dyDescent="0.25">
      <c r="A36" s="52" t="s">
        <v>47</v>
      </c>
      <c r="B36" s="224" t="str">
        <f>IF(B35&gt;3,"Sind Sie sicher?"," ")</f>
        <v xml:space="preserve"> </v>
      </c>
      <c r="C36" s="47"/>
      <c r="D36" s="194"/>
      <c r="H36" s="15"/>
    </row>
    <row r="37" spans="1:9" ht="14.25" customHeight="1" x14ac:dyDescent="0.25">
      <c r="A37" s="210" t="s">
        <v>56</v>
      </c>
      <c r="B37" s="388" t="s">
        <v>55</v>
      </c>
      <c r="C37" s="46">
        <f>VLOOKUP(B37,J23:K25,2,FALSE)</f>
        <v>10</v>
      </c>
      <c r="D37" s="213" t="s">
        <v>396</v>
      </c>
      <c r="H37" s="15"/>
    </row>
    <row r="38" spans="1:9" ht="26.25" customHeight="1" thickBot="1" x14ac:dyDescent="0.3">
      <c r="A38" s="26"/>
      <c r="B38" s="76" t="s">
        <v>465</v>
      </c>
      <c r="C38" s="254"/>
      <c r="D38" s="196"/>
    </row>
    <row r="39" spans="1:9" ht="21" customHeight="1" x14ac:dyDescent="0.25">
      <c r="A39" s="78" t="s">
        <v>61</v>
      </c>
      <c r="B39" s="42">
        <f>B41*0.67+C33*0.6</f>
        <v>94.593675000000019</v>
      </c>
      <c r="C39" s="230">
        <f>B39-C11-C12*0.67</f>
        <v>72.893675000000016</v>
      </c>
      <c r="D39" s="1632" t="s">
        <v>517</v>
      </c>
    </row>
    <row r="40" spans="1:9" ht="21" customHeight="1" thickBot="1" x14ac:dyDescent="0.3">
      <c r="A40" s="78" t="s">
        <v>62</v>
      </c>
      <c r="B40" s="19">
        <f>B41*0.33+C33*0.4</f>
        <v>47.008825000000009</v>
      </c>
      <c r="C40" s="231">
        <f>B40-C12*0.33-C13*0.25-C14-C15-C16*0.75-C32-C35+C37</f>
        <v>46.458825000000012</v>
      </c>
      <c r="D40" s="1633"/>
    </row>
    <row r="41" spans="1:9" ht="22.5" customHeight="1" thickBot="1" x14ac:dyDescent="0.3">
      <c r="A41" s="362" t="s">
        <v>155</v>
      </c>
      <c r="B41" s="265">
        <f>-0.00619*C7*C7+2.11905*C7+19.6</f>
        <v>137.60250000000002</v>
      </c>
      <c r="C41" s="239">
        <f>C39+C40</f>
        <v>119.35250000000002</v>
      </c>
      <c r="D41" s="264" t="s">
        <v>4</v>
      </c>
    </row>
    <row r="42" spans="1:9" ht="10.5" customHeight="1" x14ac:dyDescent="0.25">
      <c r="A42" s="32"/>
      <c r="B42" s="8"/>
      <c r="C42" s="3"/>
      <c r="D42"/>
    </row>
    <row r="43" spans="1:9" ht="35.25" customHeight="1" x14ac:dyDescent="0.25">
      <c r="A43" s="302"/>
      <c r="B43" s="68"/>
      <c r="C43" s="303" t="s">
        <v>729</v>
      </c>
      <c r="D43" s="304"/>
      <c r="F43" s="519" t="s">
        <v>183</v>
      </c>
      <c r="G43" s="122" t="s">
        <v>186</v>
      </c>
    </row>
    <row r="44" spans="1:9" ht="18.75" customHeight="1" x14ac:dyDescent="0.25">
      <c r="A44" s="127"/>
      <c r="B44" s="141" t="s">
        <v>42</v>
      </c>
      <c r="C44" s="132">
        <f>C18</f>
        <v>150</v>
      </c>
      <c r="D44" s="305" t="s">
        <v>4</v>
      </c>
      <c r="F44" s="60" t="s">
        <v>179</v>
      </c>
      <c r="G44" s="60">
        <v>90</v>
      </c>
      <c r="H44" s="122"/>
      <c r="I44" s="122"/>
    </row>
    <row r="45" spans="1:9" ht="18.75" customHeight="1" x14ac:dyDescent="0.25">
      <c r="A45" s="1602" t="s">
        <v>711</v>
      </c>
      <c r="B45" s="615" t="s">
        <v>710</v>
      </c>
      <c r="C45" s="620">
        <v>0</v>
      </c>
      <c r="D45" s="618" t="s">
        <v>491</v>
      </c>
      <c r="F45" s="60" t="s">
        <v>814</v>
      </c>
      <c r="G45" s="60">
        <v>70</v>
      </c>
      <c r="H45" s="611"/>
      <c r="I45" s="611"/>
    </row>
    <row r="46" spans="1:9" ht="18.75" customHeight="1" x14ac:dyDescent="0.25">
      <c r="A46" s="1603"/>
      <c r="B46" s="616" t="s">
        <v>713</v>
      </c>
      <c r="C46" s="612">
        <v>0</v>
      </c>
      <c r="D46" s="309" t="s">
        <v>492</v>
      </c>
      <c r="F46" s="60" t="s">
        <v>815</v>
      </c>
      <c r="G46" s="60">
        <v>70</v>
      </c>
      <c r="H46" s="611"/>
      <c r="I46" s="611"/>
    </row>
    <row r="47" spans="1:9" ht="18.75" customHeight="1" x14ac:dyDescent="0.25">
      <c r="A47" s="664" t="s">
        <v>827</v>
      </c>
      <c r="B47" s="246" t="s">
        <v>714</v>
      </c>
      <c r="C47" s="619">
        <v>0</v>
      </c>
      <c r="D47" s="309" t="s">
        <v>260</v>
      </c>
      <c r="F47" s="60" t="s">
        <v>819</v>
      </c>
      <c r="G47" s="519">
        <v>70</v>
      </c>
      <c r="H47" s="611"/>
      <c r="I47" s="611"/>
    </row>
    <row r="48" spans="1:9" ht="18.75" customHeight="1" x14ac:dyDescent="0.25">
      <c r="A48" s="1602" t="s">
        <v>712</v>
      </c>
      <c r="B48" s="615" t="s">
        <v>715</v>
      </c>
      <c r="C48" s="612">
        <v>0</v>
      </c>
      <c r="D48" s="618" t="s">
        <v>491</v>
      </c>
      <c r="F48" s="519" t="s">
        <v>820</v>
      </c>
      <c r="G48" s="519">
        <v>60</v>
      </c>
      <c r="H48" s="611"/>
      <c r="I48" s="611"/>
    </row>
    <row r="49" spans="1:11" ht="18.75" customHeight="1" x14ac:dyDescent="0.25">
      <c r="A49" s="1603"/>
      <c r="B49" s="616" t="s">
        <v>716</v>
      </c>
      <c r="C49" s="612">
        <v>0</v>
      </c>
      <c r="D49" s="309" t="s">
        <v>492</v>
      </c>
      <c r="F49" s="60" t="s">
        <v>48</v>
      </c>
      <c r="G49" s="519">
        <v>60</v>
      </c>
      <c r="H49" s="611"/>
      <c r="I49" s="611"/>
    </row>
    <row r="50" spans="1:11" ht="18.75" customHeight="1" x14ac:dyDescent="0.25">
      <c r="A50" s="664" t="s">
        <v>827</v>
      </c>
      <c r="B50" s="617" t="s">
        <v>717</v>
      </c>
      <c r="C50" s="612">
        <v>0</v>
      </c>
      <c r="D50" s="309" t="s">
        <v>260</v>
      </c>
      <c r="F50" s="60" t="s">
        <v>821</v>
      </c>
      <c r="G50" s="60">
        <v>45</v>
      </c>
      <c r="H50" s="611"/>
      <c r="I50" s="611"/>
    </row>
    <row r="51" spans="1:11" ht="18.75" customHeight="1" x14ac:dyDescent="0.25">
      <c r="A51" s="70"/>
      <c r="B51" s="112" t="s">
        <v>261</v>
      </c>
      <c r="C51" s="308">
        <f>(C45*C46*C47/100)+(C48*C49*C50/100)</f>
        <v>0</v>
      </c>
      <c r="D51" s="310" t="s">
        <v>4</v>
      </c>
      <c r="F51" s="519" t="s">
        <v>816</v>
      </c>
      <c r="G51" s="519">
        <v>30</v>
      </c>
      <c r="H51" s="611"/>
      <c r="I51" s="611"/>
    </row>
    <row r="52" spans="1:11" ht="18.75" customHeight="1" x14ac:dyDescent="0.25">
      <c r="A52" s="306"/>
      <c r="B52" s="307" t="s">
        <v>136</v>
      </c>
      <c r="C52" s="308">
        <f>C44-C51</f>
        <v>150</v>
      </c>
      <c r="D52" s="311" t="s">
        <v>4</v>
      </c>
      <c r="F52" s="60" t="s">
        <v>1034</v>
      </c>
      <c r="G52" s="519">
        <v>30</v>
      </c>
      <c r="H52" s="611"/>
      <c r="I52" s="611"/>
    </row>
    <row r="53" spans="1:11" ht="18.75" customHeight="1" x14ac:dyDescent="0.25">
      <c r="A53" s="32"/>
      <c r="B53" s="8"/>
      <c r="C53" s="3"/>
      <c r="D53"/>
      <c r="F53" s="60" t="s">
        <v>187</v>
      </c>
      <c r="G53" s="519">
        <v>30</v>
      </c>
      <c r="H53" s="611"/>
      <c r="I53" s="611"/>
    </row>
    <row r="54" spans="1:11" ht="18.75" customHeight="1" x14ac:dyDescent="0.25">
      <c r="A54" s="36"/>
      <c r="B54" s="31"/>
      <c r="C54" s="312" t="s">
        <v>60</v>
      </c>
      <c r="D54" s="193"/>
      <c r="F54" s="60" t="s">
        <v>823</v>
      </c>
      <c r="G54" s="519">
        <v>30</v>
      </c>
      <c r="H54" s="611"/>
      <c r="I54" s="611"/>
    </row>
    <row r="55" spans="1:11" ht="18.75" customHeight="1" x14ac:dyDescent="0.25">
      <c r="A55" s="26"/>
      <c r="B55" s="41" t="s">
        <v>73</v>
      </c>
      <c r="C55" s="324">
        <v>10.5</v>
      </c>
      <c r="D55" s="213" t="s">
        <v>515</v>
      </c>
      <c r="F55" s="60" t="s">
        <v>824</v>
      </c>
      <c r="G55" s="519">
        <v>30</v>
      </c>
      <c r="H55" s="611"/>
      <c r="I55" s="611"/>
    </row>
    <row r="56" spans="1:11" ht="18.75" customHeight="1" x14ac:dyDescent="0.25">
      <c r="A56" s="26"/>
      <c r="B56" s="41" t="s">
        <v>12</v>
      </c>
      <c r="C56" s="101">
        <f>C7*0.86*C55/6.25</f>
        <v>101.13599999999998</v>
      </c>
      <c r="D56" s="92" t="str">
        <f>IF(C56&gt;200,"mehr als 200 kg Korn-N/ha ist unrealistisch!","Korn-N-Abfuhr")</f>
        <v>Korn-N-Abfuhr</v>
      </c>
      <c r="E56" s="13"/>
      <c r="F56" s="60" t="s">
        <v>825</v>
      </c>
      <c r="G56" s="519">
        <v>30</v>
      </c>
      <c r="H56" s="611"/>
      <c r="I56" s="611"/>
    </row>
    <row r="57" spans="1:11" ht="18.75" customHeight="1" x14ac:dyDescent="0.25">
      <c r="A57" s="26"/>
      <c r="B57" s="81" t="s">
        <v>14</v>
      </c>
      <c r="C57" s="186">
        <f>(100-0.5*C7)/100</f>
        <v>0.65</v>
      </c>
      <c r="D57" s="82" t="s">
        <v>344</v>
      </c>
      <c r="F57" s="60" t="s">
        <v>180</v>
      </c>
      <c r="G57" s="519">
        <v>25</v>
      </c>
      <c r="H57" s="611"/>
      <c r="I57" s="611"/>
    </row>
    <row r="58" spans="1:11" ht="18.75" customHeight="1" x14ac:dyDescent="0.25">
      <c r="A58" s="26"/>
      <c r="B58" s="41" t="s">
        <v>13</v>
      </c>
      <c r="C58" s="268">
        <f>C7*C57*0.5</f>
        <v>22.75</v>
      </c>
      <c r="D58" s="194"/>
      <c r="F58" s="60" t="s">
        <v>817</v>
      </c>
      <c r="G58" s="519">
        <v>25</v>
      </c>
      <c r="H58" s="611"/>
      <c r="I58" s="611"/>
      <c r="J58" s="80"/>
      <c r="K58" s="80"/>
    </row>
    <row r="59" spans="1:11" ht="18.75" customHeight="1" x14ac:dyDescent="0.25">
      <c r="A59" s="26" t="s">
        <v>68</v>
      </c>
      <c r="B59" s="41" t="s">
        <v>65</v>
      </c>
      <c r="C59" s="101">
        <f>C41-C56</f>
        <v>18.216500000000039</v>
      </c>
      <c r="D59" s="202" t="str">
        <f>IF(C59&gt;50,"!!!",(IF(C59&gt;40,"!!",(IF(C59&gt;30,"!"," ")))))</f>
        <v xml:space="preserve"> </v>
      </c>
      <c r="F59" s="519" t="s">
        <v>818</v>
      </c>
      <c r="G59" s="519">
        <v>25</v>
      </c>
    </row>
    <row r="60" spans="1:11" ht="18.75" customHeight="1" x14ac:dyDescent="0.25">
      <c r="A60" s="629" t="s">
        <v>739</v>
      </c>
      <c r="B60" s="41" t="s">
        <v>66</v>
      </c>
      <c r="C60" s="187">
        <f>C41-C56-C58</f>
        <v>-4.533499999999961</v>
      </c>
      <c r="D60" s="203"/>
      <c r="F60" s="519" t="s">
        <v>826</v>
      </c>
      <c r="G60" s="519">
        <v>10</v>
      </c>
    </row>
    <row r="61" spans="1:11" ht="18.75" customHeight="1" x14ac:dyDescent="0.25">
      <c r="A61" s="628" t="s">
        <v>67</v>
      </c>
      <c r="B61" s="41" t="s">
        <v>65</v>
      </c>
      <c r="C61" s="187">
        <f>C18-C56</f>
        <v>48.864000000000019</v>
      </c>
      <c r="D61" s="202" t="str">
        <f>IF(C61&gt;50,"!!!",(IF(C61&gt;40,"!!",(IF(C61&gt;30,"!"," ")))))</f>
        <v>!!</v>
      </c>
      <c r="F61" s="519" t="s">
        <v>181</v>
      </c>
      <c r="G61" s="519">
        <v>10</v>
      </c>
    </row>
    <row r="62" spans="1:11" ht="18.75" customHeight="1" x14ac:dyDescent="0.25">
      <c r="A62" s="629" t="s">
        <v>739</v>
      </c>
      <c r="B62" s="85" t="s">
        <v>66</v>
      </c>
      <c r="C62" s="188">
        <f>C18-C56-C58</f>
        <v>26.114000000000019</v>
      </c>
      <c r="D62" s="205"/>
      <c r="F62" s="519" t="s">
        <v>188</v>
      </c>
      <c r="G62" s="519">
        <v>5</v>
      </c>
    </row>
    <row r="63" spans="1:11" ht="18.75" customHeight="1" x14ac:dyDescent="0.25">
      <c r="A63" s="32"/>
      <c r="B63" s="8"/>
      <c r="C63" s="3"/>
      <c r="D63"/>
      <c r="F63" s="519" t="s">
        <v>182</v>
      </c>
      <c r="G63" s="519">
        <v>3</v>
      </c>
    </row>
    <row r="64" spans="1:11" ht="25.5" customHeight="1" x14ac:dyDescent="0.25">
      <c r="A64" s="91" t="s">
        <v>167</v>
      </c>
      <c r="B64" s="89"/>
      <c r="C64" s="313"/>
    </row>
    <row r="65" spans="1:5" ht="71.25" customHeight="1" x14ac:dyDescent="0.25">
      <c r="A65" s="18" t="s">
        <v>400</v>
      </c>
      <c r="B65" s="1596" t="s">
        <v>478</v>
      </c>
      <c r="C65" s="1267"/>
      <c r="D65" s="1267"/>
    </row>
    <row r="66" spans="1:5" ht="70.5" customHeight="1" x14ac:dyDescent="0.25">
      <c r="A66" s="18" t="s">
        <v>405</v>
      </c>
      <c r="B66" s="1596" t="s">
        <v>406</v>
      </c>
      <c r="C66" s="1267"/>
      <c r="D66" s="1267"/>
    </row>
    <row r="67" spans="1:5" ht="40.5" customHeight="1" x14ac:dyDescent="0.25">
      <c r="A67" s="1626" t="s">
        <v>403</v>
      </c>
      <c r="B67" s="715" t="s">
        <v>497</v>
      </c>
      <c r="C67" s="267" t="s">
        <v>496</v>
      </c>
      <c r="D67" s="266"/>
    </row>
    <row r="68" spans="1:5" ht="54" customHeight="1" x14ac:dyDescent="0.25">
      <c r="A68" s="1627"/>
      <c r="B68" s="1628" t="s">
        <v>404</v>
      </c>
      <c r="C68" s="1629"/>
      <c r="D68" s="1629"/>
    </row>
    <row r="69" spans="1:5" ht="19.5" customHeight="1" x14ac:dyDescent="0.25">
      <c r="A69" s="32"/>
      <c r="B69" s="8"/>
      <c r="C69" s="3"/>
      <c r="D69" s="8"/>
    </row>
    <row r="70" spans="1:5" ht="19.5" customHeight="1" x14ac:dyDescent="0.25">
      <c r="A70" s="32"/>
      <c r="B70" s="30" t="s">
        <v>33</v>
      </c>
      <c r="C70" s="30" t="s">
        <v>4</v>
      </c>
      <c r="D70" s="3"/>
      <c r="E70" s="80"/>
    </row>
    <row r="71" spans="1:5" ht="19.5" customHeight="1" x14ac:dyDescent="0.25">
      <c r="A71" s="32"/>
      <c r="B71" s="30">
        <v>50</v>
      </c>
      <c r="C71" s="30">
        <v>110</v>
      </c>
      <c r="D71" s="3"/>
    </row>
    <row r="72" spans="1:5" ht="19.5" customHeight="1" x14ac:dyDescent="0.25">
      <c r="A72" s="32"/>
      <c r="B72" s="30">
        <v>60</v>
      </c>
      <c r="C72" s="30">
        <v>124.5</v>
      </c>
      <c r="D72" s="3"/>
    </row>
    <row r="73" spans="1:5" ht="19.5" customHeight="1" x14ac:dyDescent="0.25">
      <c r="A73" s="32"/>
      <c r="B73" s="30">
        <v>70</v>
      </c>
      <c r="C73" s="30">
        <v>138</v>
      </c>
      <c r="D73" s="3"/>
    </row>
    <row r="74" spans="1:5" ht="19.5" customHeight="1" x14ac:dyDescent="0.25">
      <c r="A74" s="32"/>
      <c r="B74" s="30">
        <v>80</v>
      </c>
      <c r="C74" s="30">
        <v>149.5</v>
      </c>
      <c r="D74" s="3"/>
    </row>
    <row r="75" spans="1:5" ht="19.5" customHeight="1" x14ac:dyDescent="0.25">
      <c r="A75" s="32"/>
      <c r="B75" s="30">
        <v>90</v>
      </c>
      <c r="C75" s="30">
        <v>160</v>
      </c>
      <c r="D75" s="3"/>
    </row>
    <row r="76" spans="1:5" ht="19.5" customHeight="1" x14ac:dyDescent="0.25">
      <c r="A76" s="32"/>
      <c r="B76" s="30">
        <v>100</v>
      </c>
      <c r="C76" s="30">
        <v>169.5</v>
      </c>
      <c r="D76" s="3"/>
    </row>
    <row r="77" spans="1:5" ht="19.5" customHeight="1" x14ac:dyDescent="0.25">
      <c r="A77" s="32"/>
      <c r="B77" s="30">
        <v>110</v>
      </c>
      <c r="C77" s="30">
        <v>178</v>
      </c>
      <c r="D77" s="3"/>
    </row>
    <row r="78" spans="1:5" x14ac:dyDescent="0.25">
      <c r="A78" s="32"/>
      <c r="B78" s="3"/>
      <c r="C78" s="3"/>
      <c r="D78" s="3"/>
    </row>
    <row r="79" spans="1:5" x14ac:dyDescent="0.25">
      <c r="A79" s="32"/>
      <c r="B79" s="3"/>
      <c r="C79" s="3"/>
      <c r="D79" s="3"/>
    </row>
    <row r="80" spans="1:5" x14ac:dyDescent="0.25">
      <c r="A80" s="32"/>
      <c r="B80" s="3"/>
      <c r="C80" s="3"/>
      <c r="D80" s="3"/>
    </row>
    <row r="81" spans="1:4" x14ac:dyDescent="0.25">
      <c r="A81" s="32"/>
      <c r="B81" s="3"/>
      <c r="C81" s="3"/>
      <c r="D81" s="3"/>
    </row>
    <row r="82" spans="1:4" x14ac:dyDescent="0.25">
      <c r="A82" s="32"/>
      <c r="B82"/>
      <c r="C82"/>
      <c r="D82" s="3"/>
    </row>
    <row r="83" spans="1:4" x14ac:dyDescent="0.25">
      <c r="A83" s="32"/>
      <c r="B83"/>
      <c r="C83"/>
      <c r="D83" s="3"/>
    </row>
    <row r="84" spans="1:4" x14ac:dyDescent="0.25">
      <c r="A84" s="32"/>
      <c r="B84"/>
      <c r="C84"/>
      <c r="D84" s="3"/>
    </row>
    <row r="85" spans="1:4" x14ac:dyDescent="0.25">
      <c r="A85" s="32"/>
      <c r="B85"/>
      <c r="C85"/>
      <c r="D85" s="3"/>
    </row>
    <row r="86" spans="1:4" x14ac:dyDescent="0.25">
      <c r="A86" s="32"/>
      <c r="B86"/>
      <c r="C86"/>
      <c r="D86" s="3"/>
    </row>
    <row r="87" spans="1:4" x14ac:dyDescent="0.25">
      <c r="A87" s="32"/>
      <c r="B87"/>
      <c r="C87"/>
      <c r="D87" s="3"/>
    </row>
    <row r="88" spans="1:4" x14ac:dyDescent="0.25">
      <c r="A88" s="32"/>
      <c r="B88"/>
      <c r="C88"/>
      <c r="D88" s="3"/>
    </row>
    <row r="89" spans="1:4" x14ac:dyDescent="0.25">
      <c r="A89" s="32"/>
      <c r="B89"/>
      <c r="C89"/>
      <c r="D89" s="3"/>
    </row>
    <row r="90" spans="1:4" x14ac:dyDescent="0.25">
      <c r="A90" s="32"/>
      <c r="B90"/>
      <c r="C90"/>
      <c r="D90" s="3"/>
    </row>
    <row r="91" spans="1:4" x14ac:dyDescent="0.25">
      <c r="A91" s="32"/>
      <c r="B91"/>
      <c r="C91"/>
      <c r="D91" s="3"/>
    </row>
    <row r="92" spans="1:4" x14ac:dyDescent="0.25">
      <c r="A92" s="32"/>
      <c r="B92"/>
      <c r="C92"/>
      <c r="D92" s="3"/>
    </row>
    <row r="93" spans="1:4" x14ac:dyDescent="0.25">
      <c r="A93" s="32"/>
      <c r="B93"/>
      <c r="C93"/>
      <c r="D93" s="3"/>
    </row>
    <row r="94" spans="1:4" x14ac:dyDescent="0.25">
      <c r="A94" s="32"/>
      <c r="B94"/>
      <c r="C94"/>
      <c r="D94" s="3"/>
    </row>
  </sheetData>
  <sheetProtection sheet="1" formatCells="0" formatColumns="0" formatRows="0" selectLockedCells="1"/>
  <mergeCells count="16">
    <mergeCell ref="B65:D65"/>
    <mergeCell ref="B66:D66"/>
    <mergeCell ref="A67:A68"/>
    <mergeCell ref="B68:D68"/>
    <mergeCell ref="A29:D29"/>
    <mergeCell ref="A30:B30"/>
    <mergeCell ref="D39:D40"/>
    <mergeCell ref="A45:A46"/>
    <mergeCell ref="A48:A49"/>
    <mergeCell ref="A5:D5"/>
    <mergeCell ref="A6:B6"/>
    <mergeCell ref="A20:B20"/>
    <mergeCell ref="A21:A25"/>
    <mergeCell ref="A26:A27"/>
    <mergeCell ref="B26:B27"/>
    <mergeCell ref="C26:D27"/>
  </mergeCells>
  <dataValidations count="6">
    <dataValidation type="list" allowBlank="1" sqref="B14" xr:uid="{00000000-0002-0000-1600-000000000000}">
      <formula1>$G$22:$G$32</formula1>
    </dataValidation>
    <dataValidation type="list" allowBlank="1" sqref="B37" xr:uid="{00000000-0002-0000-1600-000001000000}">
      <formula1>J23:J25</formula1>
    </dataValidation>
    <dataValidation type="list" allowBlank="1" showInputMessage="1" showErrorMessage="1" sqref="B34" xr:uid="{00000000-0002-0000-1600-000002000000}">
      <formula1>J12:J18</formula1>
    </dataValidation>
    <dataValidation type="list" allowBlank="1" sqref="B15" xr:uid="{00000000-0002-0000-1600-000003000000}">
      <formula1>Vorfrucht</formula1>
    </dataValidation>
    <dataValidation type="list" allowBlank="1" sqref="J8:J9" xr:uid="{00000000-0002-0000-1600-000004000000}">
      <formula1>"Humusgehalt"</formula1>
    </dataValidation>
    <dataValidation type="list" allowBlank="1" sqref="B17" xr:uid="{00000000-0002-0000-1600-000005000000}">
      <formula1>"bis 4 %, größer 4 %"</formula1>
    </dataValidation>
  </dataValidations>
  <pageMargins left="0.7" right="0.7" top="0.78740157499999996" bottom="0.78740157499999996" header="0.3" footer="0.3"/>
  <pageSetup paperSize="9" scale="65" orientation="portrait" horizontalDpi="4294967293" verticalDpi="4294967293"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25">
    <tabColor theme="0"/>
    <pageSetUpPr fitToPage="1"/>
  </sheetPr>
  <dimension ref="A1:M97"/>
  <sheetViews>
    <sheetView zoomScaleNormal="100" zoomScaleSheetLayoutView="90" workbookViewId="0">
      <selection activeCell="C7" sqref="C7"/>
    </sheetView>
  </sheetViews>
  <sheetFormatPr baseColWidth="10" defaultRowHeight="15" x14ac:dyDescent="0.25"/>
  <cols>
    <col min="1" max="1" width="39.7109375" style="32" customWidth="1"/>
    <col min="2" max="2" width="39.28515625" style="8" customWidth="1"/>
    <col min="3" max="3" width="30.85546875" style="3" customWidth="1"/>
    <col min="4" max="4" width="29.28515625" customWidth="1"/>
    <col min="5" max="5" width="23.140625" customWidth="1"/>
    <col min="6" max="6" width="31.85546875" customWidth="1"/>
    <col min="7" max="7" width="37.7109375" customWidth="1"/>
    <col min="8" max="8" width="20.140625" style="3" customWidth="1"/>
    <col min="9" max="9" width="23.28515625" customWidth="1"/>
    <col min="10" max="10" width="31" customWidth="1"/>
  </cols>
  <sheetData>
    <row r="1" spans="1:12" x14ac:dyDescent="0.25">
      <c r="B1" s="112" t="str">
        <f>'DüV-N-Ackerbau (1)'!C1</f>
        <v>Testbetrieb</v>
      </c>
      <c r="C1" s="112" t="str">
        <f>'DüV-N-Ackerbau (1)'!F1</f>
        <v>Erntejahr</v>
      </c>
      <c r="E1" s="6" t="s">
        <v>36</v>
      </c>
    </row>
    <row r="2" spans="1:12" x14ac:dyDescent="0.25">
      <c r="B2" s="112">
        <f>'DüV-N-Ackerbau (1)'!C2</f>
        <v>1</v>
      </c>
      <c r="C2" s="112">
        <f>'DüV-N-Ackerbau (1)'!G1</f>
        <v>2022</v>
      </c>
      <c r="E2" s="7" t="s">
        <v>34</v>
      </c>
    </row>
    <row r="3" spans="1:12" x14ac:dyDescent="0.25">
      <c r="B3" s="112">
        <f>'DüV-N-Ackerbau (1)'!C3</f>
        <v>123456</v>
      </c>
      <c r="C3" s="41"/>
    </row>
    <row r="4" spans="1:12" ht="7.5" customHeight="1" thickBot="1" x14ac:dyDescent="0.3"/>
    <row r="5" spans="1:12" ht="21.75" thickBot="1" x14ac:dyDescent="0.3">
      <c r="A5" s="1634" t="s">
        <v>514</v>
      </c>
      <c r="B5" s="1635"/>
      <c r="C5" s="1605"/>
      <c r="D5" s="1606"/>
    </row>
    <row r="6" spans="1:12" ht="54.75" customHeight="1" thickBot="1" x14ac:dyDescent="0.3">
      <c r="A6" s="1607" t="s">
        <v>582</v>
      </c>
      <c r="B6" s="1608"/>
      <c r="C6" s="280" t="s">
        <v>579</v>
      </c>
      <c r="D6" s="346" t="s">
        <v>533</v>
      </c>
      <c r="G6" s="354"/>
      <c r="H6" s="386" t="s">
        <v>5</v>
      </c>
      <c r="I6" s="354"/>
      <c r="J6" s="354"/>
      <c r="K6" s="354"/>
      <c r="L6" s="354"/>
    </row>
    <row r="7" spans="1:12" ht="15.75" x14ac:dyDescent="0.25">
      <c r="A7" s="63"/>
      <c r="B7" s="41" t="s">
        <v>677</v>
      </c>
      <c r="C7" s="287">
        <v>60</v>
      </c>
      <c r="D7" s="288"/>
      <c r="G7" s="386" t="s">
        <v>6</v>
      </c>
      <c r="H7" s="354"/>
      <c r="I7" s="354"/>
      <c r="J7" s="352" t="s">
        <v>159</v>
      </c>
      <c r="K7" s="352"/>
      <c r="L7" s="354"/>
    </row>
    <row r="8" spans="1:12" ht="15.75" x14ac:dyDescent="0.25">
      <c r="A8" s="63"/>
      <c r="B8" s="32"/>
      <c r="C8" s="347" t="str">
        <f>IF(OR(C7&lt;25,C7&gt;125),"Sind Sie sicher?"," ")</f>
        <v xml:space="preserve"> </v>
      </c>
      <c r="D8" s="288"/>
      <c r="G8" s="352" t="s">
        <v>510</v>
      </c>
      <c r="H8" s="352">
        <v>0</v>
      </c>
      <c r="I8" s="354"/>
      <c r="J8" s="352" t="s">
        <v>160</v>
      </c>
      <c r="K8" s="352">
        <v>0</v>
      </c>
      <c r="L8" s="354"/>
    </row>
    <row r="9" spans="1:12" ht="15.75" x14ac:dyDescent="0.25">
      <c r="A9" s="63"/>
      <c r="B9" s="32"/>
      <c r="C9" s="48" t="s">
        <v>4</v>
      </c>
      <c r="D9" s="288"/>
      <c r="G9" s="352" t="s">
        <v>22</v>
      </c>
      <c r="H9" s="352">
        <v>10</v>
      </c>
      <c r="I9" s="354"/>
      <c r="J9" s="352" t="s">
        <v>161</v>
      </c>
      <c r="K9" s="352">
        <v>20</v>
      </c>
      <c r="L9" s="354"/>
    </row>
    <row r="10" spans="1:12" ht="15.75" x14ac:dyDescent="0.25">
      <c r="A10" s="63"/>
      <c r="B10" s="32" t="s">
        <v>37</v>
      </c>
      <c r="C10" s="48">
        <f>IF(C7&lt;=49,65+C7*1.5,(IF(C7&gt;=50,90+C7)))</f>
        <v>150</v>
      </c>
      <c r="D10" s="289"/>
      <c r="G10" s="352" t="s">
        <v>535</v>
      </c>
      <c r="H10" s="352">
        <v>10</v>
      </c>
      <c r="I10" s="354"/>
      <c r="J10" s="354"/>
      <c r="K10" s="354"/>
      <c r="L10" s="354"/>
    </row>
    <row r="11" spans="1:12" ht="18" x14ac:dyDescent="0.35">
      <c r="A11" s="63"/>
      <c r="B11" s="32" t="s">
        <v>38</v>
      </c>
      <c r="C11" s="359">
        <v>20</v>
      </c>
      <c r="D11" s="289"/>
      <c r="G11" s="352" t="s">
        <v>7</v>
      </c>
      <c r="H11" s="352">
        <v>10</v>
      </c>
      <c r="I11" s="354"/>
      <c r="J11" s="354"/>
      <c r="K11" s="354"/>
      <c r="L11" s="354"/>
    </row>
    <row r="12" spans="1:12" ht="18" x14ac:dyDescent="0.35">
      <c r="A12" s="63"/>
      <c r="B12" s="32" t="s">
        <v>39</v>
      </c>
      <c r="C12" s="359">
        <v>15</v>
      </c>
      <c r="D12" s="289"/>
      <c r="G12" s="352" t="s">
        <v>17</v>
      </c>
      <c r="H12" s="352">
        <v>20</v>
      </c>
      <c r="I12" s="354"/>
      <c r="J12" s="354" t="s">
        <v>53</v>
      </c>
      <c r="K12" s="354">
        <v>-10</v>
      </c>
      <c r="L12" s="354"/>
    </row>
    <row r="13" spans="1:12" x14ac:dyDescent="0.25">
      <c r="A13" s="63" t="s">
        <v>8</v>
      </c>
      <c r="B13" s="290" t="s">
        <v>26</v>
      </c>
      <c r="C13" s="47">
        <f>VLOOKUP(B13,G21:H31,2,FALSE)</f>
        <v>0</v>
      </c>
      <c r="D13" s="289"/>
      <c r="G13" s="352" t="s">
        <v>23</v>
      </c>
      <c r="H13" s="352">
        <v>0</v>
      </c>
      <c r="I13" s="354"/>
      <c r="J13" s="354" t="s">
        <v>54</v>
      </c>
      <c r="K13" s="354">
        <v>0</v>
      </c>
      <c r="L13" s="354"/>
    </row>
    <row r="14" spans="1:12" x14ac:dyDescent="0.25">
      <c r="A14" s="63" t="s">
        <v>6</v>
      </c>
      <c r="B14" s="290" t="s">
        <v>510</v>
      </c>
      <c r="C14" s="47">
        <f>VLOOKUP(B14,G8:H19,2,FALSE)</f>
        <v>0</v>
      </c>
      <c r="D14" s="289"/>
      <c r="G14" s="352" t="s">
        <v>20</v>
      </c>
      <c r="H14" s="352">
        <v>20</v>
      </c>
      <c r="I14" s="354"/>
      <c r="J14" s="354" t="s">
        <v>55</v>
      </c>
      <c r="K14" s="354">
        <v>10</v>
      </c>
      <c r="L14" s="354"/>
    </row>
    <row r="15" spans="1:12" ht="15.75" x14ac:dyDescent="0.25">
      <c r="A15" s="59" t="s">
        <v>1073</v>
      </c>
      <c r="B15" s="8" t="s">
        <v>24</v>
      </c>
      <c r="C15" s="291"/>
      <c r="D15" s="289"/>
      <c r="E15" s="358" t="str">
        <f>IF(C15&gt;20,"Sind Sie sicher?"," ")</f>
        <v xml:space="preserve"> </v>
      </c>
      <c r="G15" s="352" t="s">
        <v>19</v>
      </c>
      <c r="H15" s="352">
        <v>10</v>
      </c>
      <c r="I15" s="354"/>
      <c r="J15" s="354"/>
      <c r="K15" s="354"/>
      <c r="L15" s="354"/>
    </row>
    <row r="16" spans="1:12" ht="15.75" thickBot="1" x14ac:dyDescent="0.3">
      <c r="A16" s="59" t="s">
        <v>159</v>
      </c>
      <c r="B16" s="292" t="s">
        <v>160</v>
      </c>
      <c r="C16" s="65">
        <f>VLOOKUP(B16,J8:K9,2,FALSE)</f>
        <v>0</v>
      </c>
      <c r="D16" s="293"/>
      <c r="G16" s="352" t="s">
        <v>536</v>
      </c>
      <c r="H16" s="352">
        <v>0</v>
      </c>
      <c r="I16" s="354"/>
      <c r="J16" s="354"/>
      <c r="K16" s="354"/>
      <c r="L16" s="354"/>
    </row>
    <row r="17" spans="1:13" ht="16.5" thickBot="1" x14ac:dyDescent="0.3">
      <c r="A17" s="242"/>
      <c r="B17" s="243" t="s">
        <v>475</v>
      </c>
      <c r="C17" s="297">
        <f>C10-SUM(C11:C16)</f>
        <v>115</v>
      </c>
      <c r="D17" s="244" t="s">
        <v>477</v>
      </c>
      <c r="E17" s="13"/>
      <c r="G17" s="352" t="s">
        <v>21</v>
      </c>
      <c r="H17" s="352">
        <v>10</v>
      </c>
      <c r="I17" s="354"/>
      <c r="J17" s="354"/>
      <c r="K17" s="354"/>
      <c r="L17" s="354"/>
    </row>
    <row r="18" spans="1:13" ht="8.25" customHeight="1" thickBot="1" x14ac:dyDescent="0.3">
      <c r="A18" s="41"/>
      <c r="B18" s="141"/>
      <c r="C18" s="298"/>
      <c r="D18" s="252"/>
      <c r="E18" s="13"/>
      <c r="G18" s="352" t="s">
        <v>18</v>
      </c>
      <c r="H18" s="352">
        <v>20</v>
      </c>
      <c r="I18" s="354"/>
      <c r="J18" s="354"/>
      <c r="K18" s="354"/>
      <c r="L18" s="354"/>
    </row>
    <row r="19" spans="1:13" ht="18" customHeight="1" x14ac:dyDescent="0.25">
      <c r="A19" s="1607" t="s">
        <v>584</v>
      </c>
      <c r="B19" s="1609"/>
      <c r="C19" s="660" t="s">
        <v>593</v>
      </c>
      <c r="D19" s="444" t="s">
        <v>593</v>
      </c>
      <c r="E19" s="13"/>
      <c r="G19" s="352"/>
      <c r="H19" s="352"/>
      <c r="I19" s="354"/>
      <c r="J19" s="354"/>
      <c r="K19" s="354"/>
      <c r="L19" s="354"/>
    </row>
    <row r="20" spans="1:13" ht="19.5" customHeight="1" x14ac:dyDescent="0.25">
      <c r="A20" s="1610" t="s">
        <v>596</v>
      </c>
      <c r="B20" s="466" t="s">
        <v>585</v>
      </c>
      <c r="C20" s="462" t="s">
        <v>586</v>
      </c>
      <c r="D20" s="465" t="s">
        <v>587</v>
      </c>
      <c r="E20" s="13"/>
      <c r="G20" s="386" t="s">
        <v>8</v>
      </c>
      <c r="H20" s="354"/>
      <c r="I20" s="354"/>
      <c r="J20" s="386" t="s">
        <v>49</v>
      </c>
      <c r="K20" s="354"/>
      <c r="L20" s="354"/>
    </row>
    <row r="21" spans="1:13" ht="19.5" customHeight="1" x14ac:dyDescent="0.25">
      <c r="A21" s="1611"/>
      <c r="B21" s="442" t="s">
        <v>589</v>
      </c>
      <c r="C21" s="226">
        <f>C23*2</f>
        <v>96</v>
      </c>
      <c r="D21" s="443">
        <f>D23*2</f>
        <v>124.80000000000001</v>
      </c>
      <c r="E21" s="13"/>
      <c r="G21" s="352" t="s">
        <v>31</v>
      </c>
      <c r="H21" s="352">
        <v>0</v>
      </c>
      <c r="I21" s="354"/>
      <c r="J21" s="971" t="s">
        <v>1225</v>
      </c>
      <c r="K21" s="971">
        <v>1</v>
      </c>
      <c r="L21" s="354"/>
    </row>
    <row r="22" spans="1:13" ht="19.5" customHeight="1" x14ac:dyDescent="0.25">
      <c r="A22" s="1611"/>
      <c r="B22" s="442" t="s">
        <v>590</v>
      </c>
      <c r="C22" s="226">
        <f>C23*1.5</f>
        <v>72</v>
      </c>
      <c r="D22" s="443">
        <f>D23*1.5</f>
        <v>93.600000000000009</v>
      </c>
      <c r="E22" s="13"/>
      <c r="G22" s="354" t="s">
        <v>25</v>
      </c>
      <c r="H22" s="354">
        <v>0</v>
      </c>
      <c r="I22" s="354"/>
      <c r="J22" s="971" t="s">
        <v>184</v>
      </c>
      <c r="K22" s="971">
        <v>0.5</v>
      </c>
      <c r="L22" s="354"/>
    </row>
    <row r="23" spans="1:13" ht="19.5" customHeight="1" x14ac:dyDescent="0.25">
      <c r="A23" s="1611"/>
      <c r="B23" s="442" t="s">
        <v>591</v>
      </c>
      <c r="C23" s="446">
        <f>C7*0.8</f>
        <v>48</v>
      </c>
      <c r="D23" s="447">
        <f>C7*1.04</f>
        <v>62.400000000000006</v>
      </c>
      <c r="E23" s="13"/>
      <c r="G23" s="354" t="s">
        <v>26</v>
      </c>
      <c r="H23" s="354">
        <v>0</v>
      </c>
      <c r="I23" s="354"/>
      <c r="J23" s="971" t="s">
        <v>1227</v>
      </c>
      <c r="K23" s="971">
        <v>0.6</v>
      </c>
      <c r="L23" s="354"/>
    </row>
    <row r="24" spans="1:13" ht="19.5" customHeight="1" x14ac:dyDescent="0.25">
      <c r="A24" s="1611"/>
      <c r="B24" s="442" t="s">
        <v>592</v>
      </c>
      <c r="C24" s="226">
        <f>C23*0.5</f>
        <v>24</v>
      </c>
      <c r="D24" s="443">
        <f>D23*0.5</f>
        <v>31.200000000000003</v>
      </c>
      <c r="E24" s="13"/>
      <c r="G24" s="354" t="s">
        <v>27</v>
      </c>
      <c r="H24" s="354">
        <v>20</v>
      </c>
      <c r="I24" s="354"/>
      <c r="J24" s="971" t="s">
        <v>1228</v>
      </c>
      <c r="K24" s="971">
        <v>0.4</v>
      </c>
      <c r="L24" s="354"/>
    </row>
    <row r="25" spans="1:13" ht="24.75" customHeight="1" x14ac:dyDescent="0.25">
      <c r="A25" s="1620"/>
      <c r="B25" s="1622" t="s">
        <v>594</v>
      </c>
      <c r="C25" s="1616" t="s">
        <v>597</v>
      </c>
      <c r="D25" s="1617"/>
      <c r="E25" s="13"/>
      <c r="G25" s="354" t="s">
        <v>28</v>
      </c>
      <c r="H25" s="354">
        <v>10</v>
      </c>
      <c r="I25" s="354"/>
      <c r="J25" s="971" t="s">
        <v>1226</v>
      </c>
      <c r="K25" s="971">
        <v>0.35</v>
      </c>
      <c r="L25" s="354"/>
    </row>
    <row r="26" spans="1:13" ht="24.75" customHeight="1" thickBot="1" x14ac:dyDescent="0.3">
      <c r="A26" s="1621"/>
      <c r="B26" s="1623"/>
      <c r="C26" s="1618"/>
      <c r="D26" s="1619"/>
      <c r="E26" s="13"/>
      <c r="G26" s="354" t="s">
        <v>29</v>
      </c>
      <c r="H26" s="354">
        <v>10</v>
      </c>
      <c r="I26" s="354"/>
      <c r="J26" s="971" t="s">
        <v>48</v>
      </c>
      <c r="K26" s="971">
        <v>0.3</v>
      </c>
      <c r="L26" s="354"/>
    </row>
    <row r="27" spans="1:13" s="15" customFormat="1" ht="7.5" customHeight="1" thickBot="1" x14ac:dyDescent="0.3">
      <c r="A27" s="41"/>
      <c r="B27" s="141"/>
      <c r="C27" s="298"/>
      <c r="D27" s="252"/>
      <c r="E27" s="13"/>
      <c r="G27" s="352" t="s">
        <v>681</v>
      </c>
      <c r="H27" s="352">
        <v>30</v>
      </c>
      <c r="I27" s="354"/>
      <c r="J27" s="971" t="s">
        <v>31</v>
      </c>
      <c r="K27" s="971">
        <v>0</v>
      </c>
      <c r="L27" s="354"/>
      <c r="M27"/>
    </row>
    <row r="28" spans="1:13" ht="24.75" customHeight="1" thickBot="1" x14ac:dyDescent="0.3">
      <c r="A28" s="1604" t="s">
        <v>542</v>
      </c>
      <c r="B28" s="1605"/>
      <c r="C28" s="1605"/>
      <c r="D28" s="1606"/>
      <c r="G28" s="354" t="s">
        <v>30</v>
      </c>
      <c r="H28" s="354">
        <v>40</v>
      </c>
      <c r="I28" s="354"/>
      <c r="J28" s="354"/>
      <c r="K28" s="354"/>
      <c r="L28" s="354"/>
    </row>
    <row r="29" spans="1:13" ht="30" customHeight="1" thickBot="1" x14ac:dyDescent="0.3">
      <c r="A29" s="1345" t="s">
        <v>498</v>
      </c>
      <c r="B29" s="1422"/>
      <c r="C29" s="299" t="s">
        <v>494</v>
      </c>
      <c r="D29" s="300" t="s">
        <v>342</v>
      </c>
      <c r="G29" s="354" t="s">
        <v>9</v>
      </c>
      <c r="H29" s="354">
        <v>0</v>
      </c>
      <c r="I29" s="354"/>
      <c r="J29" s="354"/>
      <c r="K29" s="354"/>
      <c r="L29" s="354"/>
    </row>
    <row r="30" spans="1:13" ht="24" customHeight="1" x14ac:dyDescent="0.25">
      <c r="A30" s="26"/>
      <c r="C30" s="286" t="s">
        <v>495</v>
      </c>
      <c r="D30" s="194"/>
      <c r="G30" s="352" t="s">
        <v>10</v>
      </c>
      <c r="H30" s="354">
        <v>10</v>
      </c>
    </row>
    <row r="31" spans="1:13" x14ac:dyDescent="0.25">
      <c r="A31" s="26" t="s">
        <v>35</v>
      </c>
      <c r="B31" s="294">
        <v>60</v>
      </c>
      <c r="C31" s="201">
        <f>IF(OR(B31&lt;1,B31&gt;100),"Zahl 0 bis 100 eingeben",(-0.0025*B31*B31+0.75*B31-26)*0.6)</f>
        <v>6</v>
      </c>
      <c r="D31" s="71" t="s">
        <v>163</v>
      </c>
      <c r="G31" s="354" t="s">
        <v>31</v>
      </c>
      <c r="H31" s="354">
        <v>0</v>
      </c>
    </row>
    <row r="32" spans="1:13" x14ac:dyDescent="0.25">
      <c r="A32" s="70" t="s">
        <v>162</v>
      </c>
      <c r="B32" s="295">
        <v>200</v>
      </c>
      <c r="C32" s="50">
        <f>IF(OR(B32&lt;40,B32&gt;800),"gibt es nicht",(B32*0.025-1))</f>
        <v>4</v>
      </c>
      <c r="D32" s="71" t="s">
        <v>164</v>
      </c>
      <c r="H32"/>
    </row>
    <row r="33" spans="1:12" x14ac:dyDescent="0.25">
      <c r="A33" s="26" t="s">
        <v>51</v>
      </c>
      <c r="B33" s="290" t="s">
        <v>31</v>
      </c>
      <c r="C33" s="103">
        <f>VLOOKUP(B33,J21:K27,2,FALSE)</f>
        <v>0</v>
      </c>
      <c r="D33" s="195" t="s">
        <v>50</v>
      </c>
      <c r="F33" s="4"/>
      <c r="H33"/>
    </row>
    <row r="34" spans="1:12" x14ac:dyDescent="0.25">
      <c r="A34" s="26" t="s">
        <v>46</v>
      </c>
      <c r="B34" s="361">
        <v>0</v>
      </c>
      <c r="C34" s="47">
        <f>B34*10*C33</f>
        <v>0</v>
      </c>
      <c r="D34" s="71" t="s">
        <v>163</v>
      </c>
      <c r="H34"/>
    </row>
    <row r="35" spans="1:12" ht="15.75" x14ac:dyDescent="0.25">
      <c r="A35" s="52" t="s">
        <v>47</v>
      </c>
      <c r="B35" s="224" t="str">
        <f>IF(B34&gt;3,"Sind Sie sicher?"," ")</f>
        <v xml:space="preserve"> </v>
      </c>
      <c r="C35" s="47"/>
      <c r="D35" s="194"/>
      <c r="H35"/>
    </row>
    <row r="36" spans="1:12" ht="15.75" customHeight="1" x14ac:dyDescent="0.25">
      <c r="A36" s="210" t="s">
        <v>56</v>
      </c>
      <c r="B36" s="388" t="s">
        <v>54</v>
      </c>
      <c r="C36" s="46">
        <f>VLOOKUP(B36,J12:K14,2,FALSE)</f>
        <v>0</v>
      </c>
      <c r="D36" s="213" t="s">
        <v>396</v>
      </c>
      <c r="E36" s="15"/>
      <c r="F36" s="15"/>
      <c r="H36"/>
    </row>
    <row r="37" spans="1:12" ht="16.5" thickBot="1" x14ac:dyDescent="0.3">
      <c r="A37" s="26"/>
      <c r="B37" s="37" t="s">
        <v>438</v>
      </c>
      <c r="C37" s="104">
        <f>-0.007202*C7*C7+2.177976*C7+34.3</f>
        <v>139.05135999999999</v>
      </c>
      <c r="D37" s="196"/>
      <c r="H37"/>
    </row>
    <row r="38" spans="1:12" ht="16.5" thickBot="1" x14ac:dyDescent="0.3">
      <c r="A38" s="197"/>
      <c r="B38" s="34" t="s">
        <v>52</v>
      </c>
      <c r="C38" s="234">
        <f>IF((C37-SUM(C11:C15)-C31+C32-C34+C36)&lt;=(60-C11),60-C11,C37-SUM(C11:C15)-C31+C32-C34+C36)</f>
        <v>102.05135999999999</v>
      </c>
      <c r="D38" s="198" t="s">
        <v>4</v>
      </c>
      <c r="H38"/>
    </row>
    <row r="39" spans="1:12" ht="18" x14ac:dyDescent="0.35">
      <c r="A39" s="40"/>
      <c r="B39" s="199"/>
      <c r="C39" s="301" t="s">
        <v>59</v>
      </c>
      <c r="D39" s="200" t="s">
        <v>58</v>
      </c>
      <c r="G39" s="353"/>
      <c r="H39" s="354"/>
      <c r="I39" s="353"/>
      <c r="J39" s="353"/>
      <c r="K39" s="353"/>
      <c r="L39" s="353"/>
    </row>
    <row r="40" spans="1:12" ht="9.75" customHeight="1" x14ac:dyDescent="0.25"/>
    <row r="41" spans="1:12" ht="29.25" customHeight="1" x14ac:dyDescent="0.25">
      <c r="A41" s="302"/>
      <c r="B41" s="68"/>
      <c r="C41" s="303" t="s">
        <v>729</v>
      </c>
      <c r="D41" s="304"/>
      <c r="F41" s="519" t="s">
        <v>183</v>
      </c>
      <c r="G41" s="122" t="s">
        <v>186</v>
      </c>
      <c r="H41" s="122"/>
      <c r="I41" s="122"/>
    </row>
    <row r="42" spans="1:12" ht="19.5" customHeight="1" x14ac:dyDescent="0.25">
      <c r="A42" s="127"/>
      <c r="B42" s="141" t="s">
        <v>42</v>
      </c>
      <c r="C42" s="132">
        <f>C17</f>
        <v>115</v>
      </c>
      <c r="D42" s="305" t="s">
        <v>4</v>
      </c>
      <c r="F42" s="60" t="s">
        <v>179</v>
      </c>
      <c r="G42" s="60">
        <v>90</v>
      </c>
      <c r="H42" s="611"/>
      <c r="I42" s="611"/>
    </row>
    <row r="43" spans="1:12" ht="19.5" customHeight="1" x14ac:dyDescent="0.25">
      <c r="A43" s="1602" t="s">
        <v>711</v>
      </c>
      <c r="B43" s="615" t="s">
        <v>710</v>
      </c>
      <c r="C43" s="620">
        <v>0</v>
      </c>
      <c r="D43" s="618" t="s">
        <v>491</v>
      </c>
      <c r="F43" s="60" t="s">
        <v>814</v>
      </c>
      <c r="G43" s="60">
        <v>70</v>
      </c>
      <c r="H43" s="611"/>
      <c r="I43" s="611"/>
    </row>
    <row r="44" spans="1:12" ht="19.5" customHeight="1" x14ac:dyDescent="0.25">
      <c r="A44" s="1603"/>
      <c r="B44" s="616" t="s">
        <v>713</v>
      </c>
      <c r="C44" s="612">
        <v>0</v>
      </c>
      <c r="D44" s="309" t="s">
        <v>492</v>
      </c>
      <c r="F44" s="60" t="s">
        <v>815</v>
      </c>
      <c r="G44" s="60">
        <v>70</v>
      </c>
      <c r="H44" s="611"/>
      <c r="I44" s="611"/>
    </row>
    <row r="45" spans="1:12" ht="19.5" customHeight="1" x14ac:dyDescent="0.25">
      <c r="A45" s="664" t="s">
        <v>827</v>
      </c>
      <c r="B45" s="246" t="s">
        <v>714</v>
      </c>
      <c r="C45" s="619">
        <v>0</v>
      </c>
      <c r="D45" s="309" t="s">
        <v>260</v>
      </c>
      <c r="F45" s="60" t="s">
        <v>819</v>
      </c>
      <c r="G45" s="519">
        <v>70</v>
      </c>
      <c r="H45" s="611"/>
      <c r="I45" s="611"/>
    </row>
    <row r="46" spans="1:12" ht="19.5" customHeight="1" x14ac:dyDescent="0.25">
      <c r="A46" s="1602" t="s">
        <v>712</v>
      </c>
      <c r="B46" s="615" t="s">
        <v>715</v>
      </c>
      <c r="C46" s="612">
        <v>0</v>
      </c>
      <c r="D46" s="618" t="s">
        <v>491</v>
      </c>
      <c r="F46" s="519" t="s">
        <v>820</v>
      </c>
      <c r="G46" s="519">
        <v>60</v>
      </c>
      <c r="H46" s="611"/>
      <c r="I46" s="611"/>
    </row>
    <row r="47" spans="1:12" ht="19.5" customHeight="1" x14ac:dyDescent="0.25">
      <c r="A47" s="1603"/>
      <c r="B47" s="616" t="s">
        <v>716</v>
      </c>
      <c r="C47" s="612">
        <v>0</v>
      </c>
      <c r="D47" s="309" t="s">
        <v>492</v>
      </c>
      <c r="F47" s="60" t="s">
        <v>48</v>
      </c>
      <c r="G47" s="519">
        <v>60</v>
      </c>
      <c r="H47" s="611"/>
      <c r="I47" s="611"/>
    </row>
    <row r="48" spans="1:12" ht="19.5" customHeight="1" x14ac:dyDescent="0.25">
      <c r="A48" s="664" t="s">
        <v>827</v>
      </c>
      <c r="B48" s="617" t="s">
        <v>717</v>
      </c>
      <c r="C48" s="612">
        <v>0</v>
      </c>
      <c r="D48" s="309" t="s">
        <v>260</v>
      </c>
      <c r="F48" s="60" t="s">
        <v>821</v>
      </c>
      <c r="G48" s="60">
        <v>45</v>
      </c>
      <c r="H48" s="611"/>
      <c r="I48" s="611"/>
    </row>
    <row r="49" spans="1:9" ht="19.5" customHeight="1" x14ac:dyDescent="0.25">
      <c r="A49" s="70"/>
      <c r="B49" s="112" t="s">
        <v>261</v>
      </c>
      <c r="C49" s="308">
        <f>(C43*C44*C45/100)+(C46*C47*C48/100)</f>
        <v>0</v>
      </c>
      <c r="D49" s="310" t="s">
        <v>4</v>
      </c>
      <c r="F49" s="519" t="s">
        <v>816</v>
      </c>
      <c r="G49" s="519">
        <v>30</v>
      </c>
      <c r="H49" s="611"/>
      <c r="I49" s="611"/>
    </row>
    <row r="50" spans="1:9" ht="19.5" customHeight="1" x14ac:dyDescent="0.25">
      <c r="A50" s="306"/>
      <c r="B50" s="307" t="s">
        <v>136</v>
      </c>
      <c r="C50" s="308">
        <f>C42-C49</f>
        <v>115</v>
      </c>
      <c r="D50" s="311" t="s">
        <v>4</v>
      </c>
      <c r="F50" s="60" t="s">
        <v>1034</v>
      </c>
      <c r="G50" s="519">
        <v>30</v>
      </c>
      <c r="H50" s="611"/>
      <c r="I50" s="611"/>
    </row>
    <row r="51" spans="1:9" ht="19.5" customHeight="1" x14ac:dyDescent="0.25">
      <c r="F51" s="60" t="s">
        <v>187</v>
      </c>
      <c r="G51" s="519">
        <v>30</v>
      </c>
      <c r="H51" s="611"/>
      <c r="I51" s="611"/>
    </row>
    <row r="52" spans="1:9" s="15" customFormat="1" ht="19.5" customHeight="1" x14ac:dyDescent="0.25">
      <c r="A52" s="36"/>
      <c r="B52" s="31"/>
      <c r="C52" s="312" t="s">
        <v>60</v>
      </c>
      <c r="D52" s="193"/>
      <c r="F52" s="60" t="s">
        <v>823</v>
      </c>
      <c r="G52" s="519">
        <v>30</v>
      </c>
      <c r="H52" s="611"/>
      <c r="I52" s="611"/>
    </row>
    <row r="53" spans="1:9" ht="19.5" customHeight="1" x14ac:dyDescent="0.25">
      <c r="A53" s="26"/>
      <c r="B53" s="41" t="s">
        <v>73</v>
      </c>
      <c r="C53" s="296">
        <v>10.5</v>
      </c>
      <c r="D53" s="213" t="s">
        <v>515</v>
      </c>
      <c r="F53" s="60" t="s">
        <v>824</v>
      </c>
      <c r="G53" s="519">
        <v>30</v>
      </c>
      <c r="H53" s="611"/>
      <c r="I53" s="611"/>
    </row>
    <row r="54" spans="1:9" ht="19.5" customHeight="1" x14ac:dyDescent="0.25">
      <c r="A54" s="70"/>
      <c r="B54" s="41" t="s">
        <v>12</v>
      </c>
      <c r="C54" s="101">
        <f>C7*0.86*C53/6.25</f>
        <v>86.688000000000017</v>
      </c>
      <c r="D54" s="92" t="str">
        <f>IF(C54&gt;200,"mehr als 200 kg Korn-N/ha ist unrealistisch!","Korn-N-Abfuhr")</f>
        <v>Korn-N-Abfuhr</v>
      </c>
      <c r="E54" s="5"/>
      <c r="F54" s="60" t="s">
        <v>825</v>
      </c>
      <c r="G54" s="519">
        <v>30</v>
      </c>
      <c r="H54" s="611"/>
      <c r="I54" s="611"/>
    </row>
    <row r="55" spans="1:9" ht="19.5" customHeight="1" x14ac:dyDescent="0.25">
      <c r="A55" s="26"/>
      <c r="B55" s="33" t="s">
        <v>14</v>
      </c>
      <c r="C55" s="186">
        <f>(95-0.5*C7)/100</f>
        <v>0.65</v>
      </c>
      <c r="D55" s="82" t="s">
        <v>344</v>
      </c>
      <c r="F55" s="60" t="s">
        <v>180</v>
      </c>
      <c r="G55" s="519">
        <v>25</v>
      </c>
      <c r="H55" s="611"/>
      <c r="I55" s="611"/>
    </row>
    <row r="56" spans="1:9" ht="19.5" customHeight="1" x14ac:dyDescent="0.25">
      <c r="A56" s="26"/>
      <c r="B56" s="32" t="s">
        <v>13</v>
      </c>
      <c r="C56" s="47">
        <f>C7*C55*0.5</f>
        <v>19.5</v>
      </c>
      <c r="D56" s="194"/>
      <c r="F56" s="60" t="s">
        <v>817</v>
      </c>
      <c r="G56" s="519">
        <v>25</v>
      </c>
    </row>
    <row r="57" spans="1:9" ht="19.5" customHeight="1" x14ac:dyDescent="0.25">
      <c r="A57" s="26" t="s">
        <v>68</v>
      </c>
      <c r="B57" s="41" t="s">
        <v>65</v>
      </c>
      <c r="C57" s="101">
        <f>C38-C54</f>
        <v>15.363359999999972</v>
      </c>
      <c r="D57" s="202" t="str">
        <f>IF(C57&gt;50,"!!!",(IF(C57&gt;40,"!!",(IF(C57&gt;30,"!"," ")))))</f>
        <v xml:space="preserve"> </v>
      </c>
      <c r="E57" s="1"/>
      <c r="F57" s="519" t="s">
        <v>818</v>
      </c>
      <c r="G57" s="519">
        <v>25</v>
      </c>
    </row>
    <row r="58" spans="1:9" ht="19.5" customHeight="1" x14ac:dyDescent="0.25">
      <c r="A58" s="629" t="s">
        <v>739</v>
      </c>
      <c r="B58" s="41" t="s">
        <v>66</v>
      </c>
      <c r="C58" s="187">
        <f>C38-C54-C56</f>
        <v>-4.1366400000000283</v>
      </c>
      <c r="D58" s="203"/>
      <c r="F58" s="519" t="s">
        <v>826</v>
      </c>
      <c r="G58" s="519">
        <v>10</v>
      </c>
    </row>
    <row r="59" spans="1:9" ht="19.5" customHeight="1" x14ac:dyDescent="0.25">
      <c r="A59" s="628" t="s">
        <v>67</v>
      </c>
      <c r="B59" s="41" t="s">
        <v>65</v>
      </c>
      <c r="C59" s="187">
        <f>C17-C54</f>
        <v>28.311999999999983</v>
      </c>
      <c r="D59" s="202" t="str">
        <f>IF(C59&gt;50,"!!!",(IF(C59&gt;40,"!!",(IF(C59&gt;30,"!"," ")))))</f>
        <v xml:space="preserve"> </v>
      </c>
      <c r="F59" s="519" t="s">
        <v>181</v>
      </c>
      <c r="G59" s="519">
        <v>10</v>
      </c>
    </row>
    <row r="60" spans="1:9" ht="19.5" customHeight="1" x14ac:dyDescent="0.25">
      <c r="A60" s="729" t="s">
        <v>739</v>
      </c>
      <c r="B60" s="85" t="s">
        <v>66</v>
      </c>
      <c r="C60" s="188">
        <f>C17-C54-C56</f>
        <v>8.8119999999999834</v>
      </c>
      <c r="D60" s="205"/>
      <c r="F60" s="519" t="s">
        <v>188</v>
      </c>
      <c r="G60" s="519">
        <v>5</v>
      </c>
    </row>
    <row r="61" spans="1:9" ht="19.5" customHeight="1" x14ac:dyDescent="0.25">
      <c r="E61" s="15"/>
      <c r="F61" s="519" t="s">
        <v>182</v>
      </c>
      <c r="G61" s="519">
        <v>3</v>
      </c>
    </row>
    <row r="62" spans="1:9" ht="17.25" customHeight="1" x14ac:dyDescent="0.25">
      <c r="A62" s="91" t="s">
        <v>167</v>
      </c>
      <c r="B62" s="89"/>
      <c r="C62" s="313"/>
      <c r="D62" s="15"/>
      <c r="E62" s="15"/>
      <c r="F62" s="3"/>
    </row>
    <row r="63" spans="1:9" ht="69" customHeight="1" x14ac:dyDescent="0.25">
      <c r="A63" s="18" t="s">
        <v>400</v>
      </c>
      <c r="B63" s="1596" t="s">
        <v>478</v>
      </c>
      <c r="C63" s="1267"/>
      <c r="D63" s="1267"/>
      <c r="E63" s="15"/>
      <c r="G63" s="15"/>
    </row>
    <row r="64" spans="1:9" ht="73.5" customHeight="1" x14ac:dyDescent="0.25">
      <c r="A64" s="18" t="s">
        <v>405</v>
      </c>
      <c r="B64" s="1596" t="s">
        <v>518</v>
      </c>
      <c r="C64" s="1267"/>
      <c r="D64" s="1267"/>
      <c r="E64" s="15"/>
      <c r="G64" s="3"/>
      <c r="H64"/>
    </row>
    <row r="65" spans="1:9" ht="47.25" customHeight="1" x14ac:dyDescent="0.25">
      <c r="A65" s="18" t="s">
        <v>519</v>
      </c>
      <c r="B65" s="1596" t="s">
        <v>520</v>
      </c>
      <c r="C65" s="1267"/>
      <c r="D65" s="1267"/>
      <c r="E65" s="15"/>
      <c r="G65" s="3"/>
      <c r="H65"/>
    </row>
    <row r="66" spans="1:9" ht="62.25" customHeight="1" x14ac:dyDescent="0.25">
      <c r="A66" s="1636" t="s">
        <v>403</v>
      </c>
      <c r="B66" s="713" t="s">
        <v>402</v>
      </c>
      <c r="C66" s="90" t="s">
        <v>401</v>
      </c>
      <c r="D66" s="15"/>
      <c r="E66" s="15"/>
      <c r="G66" s="3"/>
      <c r="H66"/>
    </row>
    <row r="67" spans="1:9" ht="51.75" customHeight="1" x14ac:dyDescent="0.25">
      <c r="A67" s="1637"/>
      <c r="B67" s="1596" t="s">
        <v>404</v>
      </c>
      <c r="C67" s="1463"/>
      <c r="D67" s="1463"/>
      <c r="G67" s="3"/>
      <c r="H67"/>
      <c r="I67" s="8"/>
    </row>
    <row r="68" spans="1:9" ht="18" customHeight="1" x14ac:dyDescent="0.25">
      <c r="B68" s="3" t="s">
        <v>33</v>
      </c>
      <c r="C68" s="29" t="s">
        <v>433</v>
      </c>
      <c r="D68" s="3"/>
      <c r="E68" s="3"/>
      <c r="H68"/>
    </row>
    <row r="69" spans="1:9" ht="18" customHeight="1" x14ac:dyDescent="0.25">
      <c r="B69" s="3">
        <v>40</v>
      </c>
      <c r="C69" s="3">
        <v>110</v>
      </c>
      <c r="D69" s="3"/>
      <c r="E69" s="3"/>
      <c r="H69"/>
    </row>
    <row r="70" spans="1:9" ht="18" customHeight="1" x14ac:dyDescent="0.25">
      <c r="B70" s="3">
        <v>50</v>
      </c>
      <c r="C70" s="3">
        <v>125</v>
      </c>
      <c r="D70" s="3"/>
      <c r="E70" s="3"/>
      <c r="H70"/>
    </row>
    <row r="71" spans="1:9" ht="18" customHeight="1" x14ac:dyDescent="0.25">
      <c r="B71" s="3">
        <v>60</v>
      </c>
      <c r="C71" s="3">
        <v>139</v>
      </c>
      <c r="D71" s="3"/>
      <c r="E71" s="3"/>
      <c r="H71"/>
    </row>
    <row r="72" spans="1:9" ht="18" customHeight="1" x14ac:dyDescent="0.25">
      <c r="B72" s="3">
        <v>70</v>
      </c>
      <c r="C72" s="3">
        <v>151.5</v>
      </c>
      <c r="D72" s="3"/>
      <c r="E72" s="3"/>
      <c r="H72"/>
    </row>
    <row r="73" spans="1:9" ht="18" customHeight="1" x14ac:dyDescent="0.25">
      <c r="B73" s="3">
        <v>80</v>
      </c>
      <c r="C73" s="3">
        <v>162.5</v>
      </c>
      <c r="D73" s="3"/>
      <c r="E73" s="3"/>
      <c r="H73"/>
    </row>
    <row r="74" spans="1:9" ht="18" customHeight="1" x14ac:dyDescent="0.25">
      <c r="B74" s="3">
        <v>90</v>
      </c>
      <c r="C74" s="3">
        <v>172</v>
      </c>
      <c r="D74" s="3"/>
      <c r="E74" s="3"/>
      <c r="H74"/>
    </row>
    <row r="75" spans="1:9" ht="18" customHeight="1" x14ac:dyDescent="0.25">
      <c r="B75" s="3">
        <v>100</v>
      </c>
      <c r="C75" s="3">
        <v>180</v>
      </c>
      <c r="D75" s="3"/>
      <c r="E75" s="3"/>
      <c r="H75"/>
    </row>
    <row r="76" spans="1:9" x14ac:dyDescent="0.25">
      <c r="B76" s="3"/>
      <c r="D76" s="3"/>
      <c r="H76"/>
    </row>
    <row r="77" spans="1:9" x14ac:dyDescent="0.25">
      <c r="B77" s="3"/>
      <c r="D77" s="3"/>
      <c r="H77"/>
    </row>
    <row r="78" spans="1:9" x14ac:dyDescent="0.25">
      <c r="B78" s="3"/>
      <c r="D78" s="3"/>
      <c r="H78"/>
    </row>
    <row r="79" spans="1:9" x14ac:dyDescent="0.25">
      <c r="B79" s="3"/>
      <c r="D79" s="3"/>
      <c r="H79"/>
    </row>
    <row r="80" spans="1:9" x14ac:dyDescent="0.25">
      <c r="B80"/>
      <c r="C80"/>
      <c r="D80" s="3"/>
      <c r="H80"/>
    </row>
    <row r="81" spans="2:8" x14ac:dyDescent="0.25">
      <c r="B81"/>
      <c r="C81"/>
      <c r="D81" s="3"/>
      <c r="H81"/>
    </row>
    <row r="82" spans="2:8" x14ac:dyDescent="0.25">
      <c r="B82"/>
      <c r="C82"/>
      <c r="D82" s="3"/>
      <c r="H82"/>
    </row>
    <row r="83" spans="2:8" x14ac:dyDescent="0.25">
      <c r="B83"/>
      <c r="C83"/>
      <c r="D83" s="3"/>
      <c r="H83"/>
    </row>
    <row r="84" spans="2:8" x14ac:dyDescent="0.25">
      <c r="B84"/>
      <c r="C84"/>
      <c r="D84" s="3"/>
      <c r="H84"/>
    </row>
    <row r="85" spans="2:8" x14ac:dyDescent="0.25">
      <c r="B85"/>
      <c r="C85"/>
      <c r="D85" s="3"/>
      <c r="H85"/>
    </row>
    <row r="86" spans="2:8" x14ac:dyDescent="0.25">
      <c r="B86"/>
      <c r="C86"/>
      <c r="D86" s="3"/>
      <c r="H86"/>
    </row>
    <row r="87" spans="2:8" x14ac:dyDescent="0.25">
      <c r="B87"/>
      <c r="C87"/>
      <c r="D87" s="3"/>
      <c r="H87"/>
    </row>
    <row r="88" spans="2:8" x14ac:dyDescent="0.25">
      <c r="B88"/>
      <c r="C88"/>
      <c r="D88" s="3"/>
      <c r="H88"/>
    </row>
    <row r="89" spans="2:8" x14ac:dyDescent="0.25">
      <c r="B89"/>
      <c r="C89"/>
      <c r="D89" s="3"/>
      <c r="H89"/>
    </row>
    <row r="90" spans="2:8" x14ac:dyDescent="0.25">
      <c r="B90"/>
      <c r="C90"/>
      <c r="D90" s="3"/>
      <c r="H90"/>
    </row>
    <row r="91" spans="2:8" x14ac:dyDescent="0.25">
      <c r="B91"/>
      <c r="C91"/>
      <c r="D91" s="3"/>
      <c r="H91"/>
    </row>
    <row r="92" spans="2:8" x14ac:dyDescent="0.25">
      <c r="B92"/>
      <c r="C92"/>
      <c r="D92" s="3"/>
      <c r="H92"/>
    </row>
    <row r="93" spans="2:8" x14ac:dyDescent="0.25">
      <c r="B93"/>
      <c r="C93"/>
      <c r="D93" s="3"/>
      <c r="H93"/>
    </row>
    <row r="94" spans="2:8" x14ac:dyDescent="0.25">
      <c r="B94"/>
      <c r="C94"/>
      <c r="D94" s="3"/>
      <c r="H94"/>
    </row>
    <row r="95" spans="2:8" x14ac:dyDescent="0.25">
      <c r="B95"/>
      <c r="C95"/>
      <c r="D95" s="3"/>
      <c r="H95"/>
    </row>
    <row r="96" spans="2:8" x14ac:dyDescent="0.25">
      <c r="H96"/>
    </row>
    <row r="97" spans="8:8" x14ac:dyDescent="0.25">
      <c r="H97"/>
    </row>
  </sheetData>
  <sheetProtection sheet="1" formatCells="0" formatColumns="0" formatRows="0" selectLockedCells="1"/>
  <mergeCells count="16">
    <mergeCell ref="B63:D63"/>
    <mergeCell ref="B64:D64"/>
    <mergeCell ref="B65:D65"/>
    <mergeCell ref="A66:A67"/>
    <mergeCell ref="B67:D67"/>
    <mergeCell ref="A28:D28"/>
    <mergeCell ref="A29:B29"/>
    <mergeCell ref="A43:A44"/>
    <mergeCell ref="A46:A47"/>
    <mergeCell ref="A5:D5"/>
    <mergeCell ref="A6:B6"/>
    <mergeCell ref="A19:B19"/>
    <mergeCell ref="A20:A24"/>
    <mergeCell ref="A25:A26"/>
    <mergeCell ref="B25:B26"/>
    <mergeCell ref="C25:D26"/>
  </mergeCells>
  <dataValidations count="6">
    <dataValidation type="list" allowBlank="1" sqref="B13" xr:uid="{00000000-0002-0000-1700-000000000000}">
      <formula1>$G$21:$G$31</formula1>
    </dataValidation>
    <dataValidation type="list" allowBlank="1" showInputMessage="1" showErrorMessage="1" sqref="B33" xr:uid="{00000000-0002-0000-1700-000001000000}">
      <formula1>J21:J27</formula1>
    </dataValidation>
    <dataValidation type="list" allowBlank="1" sqref="B36" xr:uid="{00000000-0002-0000-1700-000002000000}">
      <formula1>J12:J14</formula1>
    </dataValidation>
    <dataValidation type="list" allowBlank="1" sqref="B16" xr:uid="{00000000-0002-0000-1700-000003000000}">
      <formula1>"bis 4 %, größer 4 %"</formula1>
    </dataValidation>
    <dataValidation type="list" allowBlank="1" sqref="J8:J9" xr:uid="{00000000-0002-0000-1700-000004000000}">
      <formula1>"Humusgehalt"</formula1>
    </dataValidation>
    <dataValidation type="list" allowBlank="1" sqref="B14" xr:uid="{00000000-0002-0000-1700-000005000000}">
      <formula1>Vorfrucht</formula1>
    </dataValidation>
  </dataValidations>
  <pageMargins left="0.7" right="0.7" top="0.78740157499999996" bottom="0.78740157499999996" header="0.3" footer="0.3"/>
  <pageSetup paperSize="9" scale="62" orientation="portrait" horizontalDpi="4294967293" verticalDpi="4294967293" r:id="rId1"/>
  <colBreaks count="1" manualBreakCount="1">
    <brk id="6" max="79" man="1"/>
  </col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belle27">
    <tabColor theme="0"/>
    <pageSetUpPr fitToPage="1"/>
  </sheetPr>
  <dimension ref="A1:K75"/>
  <sheetViews>
    <sheetView zoomScaleNormal="100" workbookViewId="0">
      <selection activeCell="C7" sqref="C7"/>
    </sheetView>
  </sheetViews>
  <sheetFormatPr baseColWidth="10" defaultRowHeight="15" x14ac:dyDescent="0.25"/>
  <cols>
    <col min="1" max="1" width="38.85546875" style="32" customWidth="1"/>
    <col min="2" max="2" width="39" style="8" customWidth="1"/>
    <col min="3" max="3" width="24.5703125" style="3" customWidth="1"/>
    <col min="4" max="4" width="30.42578125" customWidth="1"/>
    <col min="5" max="5" width="26.5703125" customWidth="1"/>
    <col min="6" max="6" width="35.85546875" customWidth="1"/>
    <col min="7" max="7" width="35.5703125" customWidth="1"/>
    <col min="8" max="8" width="26.42578125" style="3" customWidth="1"/>
    <col min="9" max="9" width="38.140625" customWidth="1"/>
    <col min="10" max="10" width="29.28515625" customWidth="1"/>
    <col min="11" max="11" width="26.7109375" customWidth="1"/>
  </cols>
  <sheetData>
    <row r="1" spans="1:11" x14ac:dyDescent="0.25">
      <c r="B1" s="112" t="str">
        <f>'DüV-N-Ackerbau (1)'!C1</f>
        <v>Testbetrieb</v>
      </c>
      <c r="C1" s="112" t="str">
        <f>'DüV-N-Ackerbau (1)'!F1</f>
        <v>Erntejahr</v>
      </c>
      <c r="E1" s="6" t="s">
        <v>36</v>
      </c>
    </row>
    <row r="2" spans="1:11" x14ac:dyDescent="0.25">
      <c r="B2" s="112">
        <f>'DüV-N-Ackerbau (1)'!C2</f>
        <v>1</v>
      </c>
      <c r="C2" s="112">
        <f>'DüV-N-Ackerbau (1)'!G1</f>
        <v>2022</v>
      </c>
      <c r="E2" s="7" t="s">
        <v>34</v>
      </c>
    </row>
    <row r="3" spans="1:11" x14ac:dyDescent="0.25">
      <c r="B3" s="112">
        <f>'DüV-N-Ackerbau (1)'!C3</f>
        <v>123456</v>
      </c>
      <c r="C3" s="41"/>
    </row>
    <row r="4" spans="1:11" ht="7.5" customHeight="1" thickBot="1" x14ac:dyDescent="0.3"/>
    <row r="5" spans="1:11" ht="21.75" thickBot="1" x14ac:dyDescent="0.3">
      <c r="A5" s="1604" t="s">
        <v>16</v>
      </c>
      <c r="B5" s="1605"/>
      <c r="C5" s="1605"/>
      <c r="D5" s="1606"/>
    </row>
    <row r="6" spans="1:11" ht="47.25" customHeight="1" thickBot="1" x14ac:dyDescent="0.3">
      <c r="A6" s="1607" t="s">
        <v>580</v>
      </c>
      <c r="B6" s="1608"/>
      <c r="C6" s="280" t="s">
        <v>579</v>
      </c>
      <c r="D6" s="346" t="s">
        <v>533</v>
      </c>
      <c r="G6" s="354"/>
      <c r="H6" s="386" t="s">
        <v>5</v>
      </c>
      <c r="I6" s="354"/>
      <c r="J6" s="354"/>
      <c r="K6" s="354"/>
    </row>
    <row r="7" spans="1:11" ht="15.75" x14ac:dyDescent="0.25">
      <c r="A7" s="63"/>
      <c r="B7" s="41" t="s">
        <v>677</v>
      </c>
      <c r="C7" s="287">
        <v>55</v>
      </c>
      <c r="D7" s="288"/>
      <c r="G7" s="386" t="s">
        <v>6</v>
      </c>
      <c r="H7" s="354"/>
      <c r="I7" s="354"/>
      <c r="J7" s="352" t="s">
        <v>159</v>
      </c>
      <c r="K7" s="352"/>
    </row>
    <row r="8" spans="1:11" ht="15.75" x14ac:dyDescent="0.25">
      <c r="A8" s="63"/>
      <c r="B8" s="32"/>
      <c r="C8" s="347" t="str">
        <f>IF(OR(C7&lt;30,C7&gt;150),"Sind Sie sicher?"," ")</f>
        <v xml:space="preserve"> </v>
      </c>
      <c r="D8" s="288"/>
      <c r="G8" s="352" t="s">
        <v>510</v>
      </c>
      <c r="H8" s="352">
        <v>0</v>
      </c>
      <c r="I8" s="354"/>
      <c r="J8" s="352" t="s">
        <v>160</v>
      </c>
      <c r="K8" s="352">
        <v>0</v>
      </c>
    </row>
    <row r="9" spans="1:11" ht="15.75" x14ac:dyDescent="0.25">
      <c r="A9" s="63"/>
      <c r="B9" s="32"/>
      <c r="C9" s="48" t="s">
        <v>4</v>
      </c>
      <c r="D9" s="288"/>
      <c r="G9" s="352" t="s">
        <v>22</v>
      </c>
      <c r="H9" s="352">
        <v>10</v>
      </c>
      <c r="I9" s="354"/>
      <c r="J9" s="352" t="s">
        <v>161</v>
      </c>
      <c r="K9" s="352">
        <v>20</v>
      </c>
    </row>
    <row r="10" spans="1:11" ht="15.75" x14ac:dyDescent="0.25">
      <c r="A10" s="63"/>
      <c r="B10" s="32" t="s">
        <v>37</v>
      </c>
      <c r="C10" s="49">
        <f>IF(C7&lt;=54,47.5+C7*1.5,(IF(C7&gt;=55,75+C7)))</f>
        <v>130</v>
      </c>
      <c r="D10" s="289"/>
      <c r="G10" s="352" t="s">
        <v>535</v>
      </c>
      <c r="H10" s="352">
        <v>10</v>
      </c>
      <c r="I10" s="354"/>
      <c r="J10" s="354"/>
      <c r="K10" s="354"/>
    </row>
    <row r="11" spans="1:11" ht="18" x14ac:dyDescent="0.35">
      <c r="A11" s="63"/>
      <c r="B11" s="32" t="s">
        <v>38</v>
      </c>
      <c r="C11" s="359">
        <v>20</v>
      </c>
      <c r="D11" s="289"/>
      <c r="G11" s="352" t="s">
        <v>7</v>
      </c>
      <c r="H11" s="352">
        <v>10</v>
      </c>
      <c r="I11" s="354"/>
      <c r="J11" s="354"/>
      <c r="K11" s="354"/>
    </row>
    <row r="12" spans="1:11" ht="18" x14ac:dyDescent="0.35">
      <c r="A12" s="63"/>
      <c r="B12" s="32" t="s">
        <v>39</v>
      </c>
      <c r="C12" s="359">
        <v>15</v>
      </c>
      <c r="D12" s="289"/>
      <c r="G12" s="352" t="s">
        <v>17</v>
      </c>
      <c r="H12" s="352">
        <v>20</v>
      </c>
      <c r="I12" s="354"/>
      <c r="J12" s="354"/>
      <c r="K12" s="354"/>
    </row>
    <row r="13" spans="1:11" x14ac:dyDescent="0.25">
      <c r="A13" s="63" t="s">
        <v>8</v>
      </c>
      <c r="B13" s="290" t="s">
        <v>26</v>
      </c>
      <c r="C13" s="47">
        <f>VLOOKUP(B13,G21:H31,2,FALSE)</f>
        <v>0</v>
      </c>
      <c r="D13" s="289"/>
      <c r="G13" s="352" t="s">
        <v>23</v>
      </c>
      <c r="H13" s="352">
        <v>0</v>
      </c>
      <c r="I13" s="354"/>
      <c r="J13" s="354"/>
      <c r="K13" s="354"/>
    </row>
    <row r="14" spans="1:11" x14ac:dyDescent="0.25">
      <c r="A14" s="63" t="s">
        <v>6</v>
      </c>
      <c r="B14" s="290" t="s">
        <v>510</v>
      </c>
      <c r="C14" s="47">
        <f>VLOOKUP(B14,G8:H19,2,FALSE)</f>
        <v>0</v>
      </c>
      <c r="D14" s="289"/>
      <c r="G14" s="352" t="s">
        <v>20</v>
      </c>
      <c r="H14" s="352">
        <v>20</v>
      </c>
      <c r="I14" s="354"/>
      <c r="J14" s="354"/>
      <c r="K14" s="354"/>
    </row>
    <row r="15" spans="1:11" ht="15.75" x14ac:dyDescent="0.25">
      <c r="A15" s="59" t="s">
        <v>1073</v>
      </c>
      <c r="B15" s="8" t="s">
        <v>24</v>
      </c>
      <c r="C15" s="291">
        <v>0</v>
      </c>
      <c r="D15" s="289"/>
      <c r="E15" s="358" t="str">
        <f>IF(C15&gt;20,"Sind Sie sicher?"," ")</f>
        <v xml:space="preserve"> </v>
      </c>
      <c r="G15" s="352" t="s">
        <v>19</v>
      </c>
      <c r="H15" s="352">
        <v>10</v>
      </c>
      <c r="I15" s="354"/>
      <c r="J15" s="354"/>
      <c r="K15" s="354"/>
    </row>
    <row r="16" spans="1:11" ht="15.75" thickBot="1" x14ac:dyDescent="0.3">
      <c r="A16" s="59" t="s">
        <v>159</v>
      </c>
      <c r="B16" s="292" t="s">
        <v>160</v>
      </c>
      <c r="C16" s="65">
        <f>VLOOKUP(B16,J8:K9,2,FALSE)</f>
        <v>0</v>
      </c>
      <c r="D16" s="293"/>
      <c r="G16" s="352" t="s">
        <v>536</v>
      </c>
      <c r="H16" s="352">
        <v>0</v>
      </c>
      <c r="I16" s="354"/>
      <c r="J16" s="354"/>
      <c r="K16" s="354"/>
    </row>
    <row r="17" spans="1:11" ht="16.5" thickBot="1" x14ac:dyDescent="0.3">
      <c r="A17" s="251"/>
      <c r="B17" s="243" t="s">
        <v>475</v>
      </c>
      <c r="C17" s="239">
        <f>C10-SUM(C11:C16)</f>
        <v>95</v>
      </c>
      <c r="D17" s="244" t="s">
        <v>477</v>
      </c>
      <c r="E17" s="1"/>
      <c r="G17" s="352" t="s">
        <v>21</v>
      </c>
      <c r="H17" s="352">
        <v>10</v>
      </c>
      <c r="I17" s="354"/>
      <c r="J17" s="354"/>
      <c r="K17" s="354"/>
    </row>
    <row r="18" spans="1:11" ht="9" customHeight="1" thickBot="1" x14ac:dyDescent="0.3">
      <c r="B18" s="141"/>
      <c r="C18" s="10"/>
      <c r="D18" s="252"/>
      <c r="E18" s="1"/>
      <c r="G18" s="352" t="s">
        <v>18</v>
      </c>
      <c r="H18" s="352">
        <v>20</v>
      </c>
      <c r="I18" s="354"/>
      <c r="J18" s="354"/>
      <c r="K18" s="354"/>
    </row>
    <row r="19" spans="1:11" ht="18" x14ac:dyDescent="0.25">
      <c r="A19" s="1607" t="s">
        <v>584</v>
      </c>
      <c r="B19" s="1609"/>
      <c r="C19" s="660" t="s">
        <v>593</v>
      </c>
      <c r="D19" s="444" t="s">
        <v>593</v>
      </c>
      <c r="E19" s="1"/>
      <c r="G19" s="352"/>
      <c r="H19" s="352"/>
      <c r="I19" s="354"/>
      <c r="J19" s="354"/>
      <c r="K19" s="354"/>
    </row>
    <row r="20" spans="1:11" ht="19.5" customHeight="1" x14ac:dyDescent="0.25">
      <c r="A20" s="1610" t="s">
        <v>596</v>
      </c>
      <c r="B20" s="466" t="s">
        <v>585</v>
      </c>
      <c r="C20" s="462" t="s">
        <v>586</v>
      </c>
      <c r="D20" s="465" t="s">
        <v>587</v>
      </c>
      <c r="E20" s="1"/>
      <c r="G20" s="386" t="s">
        <v>8</v>
      </c>
      <c r="H20" s="354"/>
      <c r="I20" s="354"/>
      <c r="J20" s="386" t="s">
        <v>49</v>
      </c>
      <c r="K20" s="354"/>
    </row>
    <row r="21" spans="1:11" ht="19.5" customHeight="1" x14ac:dyDescent="0.25">
      <c r="A21" s="1611"/>
      <c r="B21" s="442" t="s">
        <v>589</v>
      </c>
      <c r="C21" s="226">
        <f>C23*2</f>
        <v>88</v>
      </c>
      <c r="D21" s="443">
        <f>D23*2</f>
        <v>124.29999999999998</v>
      </c>
      <c r="E21" s="1"/>
      <c r="G21" s="352" t="s">
        <v>31</v>
      </c>
      <c r="H21" s="352">
        <v>0</v>
      </c>
      <c r="I21" s="354"/>
      <c r="J21" s="971" t="s">
        <v>1225</v>
      </c>
      <c r="K21" s="971">
        <v>1</v>
      </c>
    </row>
    <row r="22" spans="1:11" ht="19.5" customHeight="1" x14ac:dyDescent="0.25">
      <c r="A22" s="1611"/>
      <c r="B22" s="442" t="s">
        <v>590</v>
      </c>
      <c r="C22" s="226">
        <f>C23*1.5</f>
        <v>66</v>
      </c>
      <c r="D22" s="443">
        <f>D23*1.5</f>
        <v>93.224999999999994</v>
      </c>
      <c r="E22" s="1"/>
      <c r="G22" s="354" t="s">
        <v>25</v>
      </c>
      <c r="H22" s="354">
        <v>0</v>
      </c>
      <c r="I22" s="354"/>
      <c r="J22" s="971" t="s">
        <v>184</v>
      </c>
      <c r="K22" s="971">
        <v>0.5</v>
      </c>
    </row>
    <row r="23" spans="1:11" ht="19.5" customHeight="1" x14ac:dyDescent="0.25">
      <c r="A23" s="1611"/>
      <c r="B23" s="442" t="s">
        <v>591</v>
      </c>
      <c r="C23" s="446">
        <f>C7*0.8</f>
        <v>44</v>
      </c>
      <c r="D23" s="447">
        <f>C7*1.13</f>
        <v>62.149999999999991</v>
      </c>
      <c r="E23" s="1"/>
      <c r="G23" s="354" t="s">
        <v>26</v>
      </c>
      <c r="H23" s="354">
        <v>0</v>
      </c>
      <c r="I23" s="354"/>
      <c r="J23" s="971" t="s">
        <v>1227</v>
      </c>
      <c r="K23" s="971">
        <v>0.6</v>
      </c>
    </row>
    <row r="24" spans="1:11" ht="19.5" customHeight="1" x14ac:dyDescent="0.25">
      <c r="A24" s="1611"/>
      <c r="B24" s="442" t="s">
        <v>592</v>
      </c>
      <c r="C24" s="226">
        <f>C23*0.5</f>
        <v>22</v>
      </c>
      <c r="D24" s="443">
        <f>D23*0.5</f>
        <v>31.074999999999996</v>
      </c>
      <c r="E24" s="1"/>
      <c r="G24" s="354" t="s">
        <v>27</v>
      </c>
      <c r="H24" s="354">
        <v>20</v>
      </c>
      <c r="I24" s="354"/>
      <c r="J24" s="971" t="s">
        <v>1228</v>
      </c>
      <c r="K24" s="971">
        <v>0.4</v>
      </c>
    </row>
    <row r="25" spans="1:11" ht="24.75" customHeight="1" x14ac:dyDescent="0.25">
      <c r="A25" s="1620"/>
      <c r="B25" s="1622" t="s">
        <v>594</v>
      </c>
      <c r="C25" s="1616" t="s">
        <v>597</v>
      </c>
      <c r="D25" s="1617"/>
      <c r="E25" s="1"/>
      <c r="G25" s="354" t="s">
        <v>28</v>
      </c>
      <c r="H25" s="354">
        <v>10</v>
      </c>
      <c r="I25" s="354"/>
      <c r="J25" s="971" t="s">
        <v>1226</v>
      </c>
      <c r="K25" s="971">
        <v>0.35</v>
      </c>
    </row>
    <row r="26" spans="1:11" ht="24.75" customHeight="1" thickBot="1" x14ac:dyDescent="0.3">
      <c r="A26" s="1621"/>
      <c r="B26" s="1623"/>
      <c r="C26" s="1618"/>
      <c r="D26" s="1619"/>
      <c r="E26" s="1"/>
      <c r="G26" s="354" t="s">
        <v>29</v>
      </c>
      <c r="H26" s="354">
        <v>10</v>
      </c>
      <c r="I26" s="354"/>
      <c r="J26" s="971" t="s">
        <v>48</v>
      </c>
      <c r="K26" s="971">
        <v>0.3</v>
      </c>
    </row>
    <row r="27" spans="1:11" ht="11.25" customHeight="1" thickBot="1" x14ac:dyDescent="0.3">
      <c r="G27" s="352" t="s">
        <v>681</v>
      </c>
      <c r="H27" s="352">
        <v>30</v>
      </c>
      <c r="I27" s="354"/>
      <c r="J27" s="971" t="s">
        <v>31</v>
      </c>
      <c r="K27" s="971">
        <v>0</v>
      </c>
    </row>
    <row r="28" spans="1:11" ht="30" customHeight="1" thickBot="1" x14ac:dyDescent="0.3">
      <c r="A28" s="1630" t="s">
        <v>498</v>
      </c>
      <c r="B28" s="1631"/>
      <c r="C28" s="233" t="s">
        <v>392</v>
      </c>
      <c r="D28" s="207" t="s">
        <v>342</v>
      </c>
      <c r="G28" s="354" t="s">
        <v>30</v>
      </c>
      <c r="H28" s="354">
        <v>40</v>
      </c>
      <c r="I28" s="354"/>
      <c r="J28" s="3"/>
      <c r="K28" s="3"/>
    </row>
    <row r="29" spans="1:11" ht="17.25" customHeight="1" x14ac:dyDescent="0.25">
      <c r="A29" s="70" t="s">
        <v>35</v>
      </c>
      <c r="B29" s="295">
        <v>60</v>
      </c>
      <c r="C29" s="209">
        <f>IF(OR(B29&lt;1,B29&gt;100),"Zahl 0 bis 100 eingeben",(-0.0025*B29*B29+0.75*B29-26)*0.4)</f>
        <v>4</v>
      </c>
      <c r="D29" s="71" t="s">
        <v>163</v>
      </c>
      <c r="G29" s="352" t="s">
        <v>9</v>
      </c>
      <c r="H29" s="352">
        <v>0</v>
      </c>
      <c r="I29" s="354"/>
      <c r="J29" s="3"/>
      <c r="K29" s="3"/>
    </row>
    <row r="30" spans="1:11" x14ac:dyDescent="0.25">
      <c r="A30" s="70" t="s">
        <v>162</v>
      </c>
      <c r="B30" s="295">
        <v>200</v>
      </c>
      <c r="C30" s="50">
        <f>IF(OR(B30&lt;40,B30&gt;800),"gibt es nicht",(B30*0.025-1))</f>
        <v>4</v>
      </c>
      <c r="D30" s="71" t="s">
        <v>164</v>
      </c>
      <c r="G30" s="352" t="s">
        <v>10</v>
      </c>
      <c r="H30" s="354">
        <v>10</v>
      </c>
      <c r="I30" s="354"/>
      <c r="J30" s="3"/>
      <c r="K30" s="3"/>
    </row>
    <row r="31" spans="1:11" x14ac:dyDescent="0.25">
      <c r="A31" s="70" t="s">
        <v>51</v>
      </c>
      <c r="B31" s="292" t="s">
        <v>31</v>
      </c>
      <c r="C31" s="56">
        <f>VLOOKUP(B31,J21:K27,2,FALSE)</f>
        <v>0</v>
      </c>
      <c r="D31" s="72" t="s">
        <v>50</v>
      </c>
      <c r="F31" s="4"/>
      <c r="G31" s="352" t="s">
        <v>31</v>
      </c>
      <c r="H31" s="354">
        <v>0</v>
      </c>
      <c r="I31" s="353"/>
    </row>
    <row r="32" spans="1:11" x14ac:dyDescent="0.25">
      <c r="A32" s="70" t="s">
        <v>46</v>
      </c>
      <c r="B32" s="361">
        <v>0</v>
      </c>
      <c r="C32" s="46">
        <f>B32*10*C31</f>
        <v>0</v>
      </c>
      <c r="D32" s="71" t="s">
        <v>163</v>
      </c>
      <c r="I32" s="353"/>
    </row>
    <row r="33" spans="1:11" ht="15.75" x14ac:dyDescent="0.25">
      <c r="A33" s="73" t="s">
        <v>47</v>
      </c>
      <c r="B33" s="224" t="str">
        <f>IF(B32&gt;3,"Sind Sie sicher?"," ")</f>
        <v xml:space="preserve"> </v>
      </c>
      <c r="C33" s="46"/>
      <c r="D33" s="71"/>
      <c r="I33" s="353"/>
    </row>
    <row r="34" spans="1:11" ht="26.25" customHeight="1" x14ac:dyDescent="0.25">
      <c r="A34" s="70"/>
      <c r="B34" s="211" t="s">
        <v>355</v>
      </c>
      <c r="C34" s="318">
        <v>11</v>
      </c>
      <c r="D34" s="191" t="s">
        <v>393</v>
      </c>
      <c r="E34" s="15"/>
      <c r="F34" s="15"/>
      <c r="I34" s="353"/>
    </row>
    <row r="35" spans="1:11" s="15" customFormat="1" ht="26.25" customHeight="1" thickBot="1" x14ac:dyDescent="0.3">
      <c r="A35" s="256"/>
      <c r="B35" s="76" t="s">
        <v>466</v>
      </c>
      <c r="C35" s="46"/>
      <c r="D35" s="77" t="s">
        <v>64</v>
      </c>
      <c r="F35"/>
      <c r="I35" s="350"/>
    </row>
    <row r="36" spans="1:11" ht="20.25" customHeight="1" x14ac:dyDescent="0.25">
      <c r="A36" s="131" t="s">
        <v>125</v>
      </c>
      <c r="B36" s="19">
        <f>B38*0.67+C30*0.6</f>
        <v>86.587141499999987</v>
      </c>
      <c r="C36" s="230">
        <f>B36-C11-C12*0.75</f>
        <v>55.337141499999987</v>
      </c>
      <c r="D36" s="39" t="s">
        <v>394</v>
      </c>
      <c r="I36" s="353"/>
      <c r="J36" s="353"/>
      <c r="K36" s="354"/>
    </row>
    <row r="37" spans="1:11" ht="20.25" customHeight="1" thickBot="1" x14ac:dyDescent="0.3">
      <c r="A37" s="131" t="s">
        <v>62</v>
      </c>
      <c r="B37" s="235">
        <f>B38*0.33+C30*0.4</f>
        <v>43.065308499999993</v>
      </c>
      <c r="C37" s="232">
        <f>B37-C12*0.25-C13-C14-C15*0.65-C29-C32</f>
        <v>35.315308499999993</v>
      </c>
      <c r="D37" s="236" t="s">
        <v>722</v>
      </c>
      <c r="I37" s="353"/>
      <c r="J37" s="353"/>
      <c r="K37" s="354"/>
    </row>
    <row r="38" spans="1:11" ht="24.75" customHeight="1" x14ac:dyDescent="0.25">
      <c r="A38" s="66" t="s">
        <v>395</v>
      </c>
      <c r="B38" s="98">
        <f>(C52+C54)*1.15</f>
        <v>125.65244999999997</v>
      </c>
      <c r="C38" s="212">
        <f>C36+C37</f>
        <v>90.652449999999988</v>
      </c>
      <c r="D38" s="79" t="str">
        <f>IF(C38&gt;C17,"Obergrenze einhalten!!!"," ")</f>
        <v xml:space="preserve"> </v>
      </c>
      <c r="I38" s="353"/>
      <c r="J38" s="353"/>
      <c r="K38" s="354"/>
    </row>
    <row r="39" spans="1:11" ht="12.75" customHeight="1" x14ac:dyDescent="0.25"/>
    <row r="40" spans="1:11" ht="31.5" customHeight="1" x14ac:dyDescent="0.25">
      <c r="A40" s="302"/>
      <c r="B40" s="68"/>
      <c r="C40" s="303" t="s">
        <v>729</v>
      </c>
      <c r="D40" s="304"/>
      <c r="F40" s="519" t="s">
        <v>183</v>
      </c>
      <c r="G40" s="122" t="s">
        <v>186</v>
      </c>
      <c r="H40" s="122"/>
      <c r="I40" s="122"/>
    </row>
    <row r="41" spans="1:11" ht="19.5" customHeight="1" x14ac:dyDescent="0.25">
      <c r="A41" s="127"/>
      <c r="B41" s="141" t="s">
        <v>42</v>
      </c>
      <c r="C41" s="132">
        <f>C17</f>
        <v>95</v>
      </c>
      <c r="D41" s="305" t="s">
        <v>4</v>
      </c>
      <c r="F41" s="60" t="s">
        <v>179</v>
      </c>
      <c r="G41" s="60">
        <v>90</v>
      </c>
      <c r="H41" s="611"/>
      <c r="I41" s="611"/>
    </row>
    <row r="42" spans="1:11" ht="19.5" customHeight="1" x14ac:dyDescent="0.25">
      <c r="A42" s="1602" t="s">
        <v>711</v>
      </c>
      <c r="B42" s="615" t="s">
        <v>710</v>
      </c>
      <c r="C42" s="620">
        <v>0</v>
      </c>
      <c r="D42" s="618" t="s">
        <v>491</v>
      </c>
      <c r="E42" s="5"/>
      <c r="F42" s="60" t="s">
        <v>814</v>
      </c>
      <c r="G42" s="60">
        <v>70</v>
      </c>
      <c r="H42" s="611"/>
      <c r="I42" s="611"/>
    </row>
    <row r="43" spans="1:11" ht="19.5" customHeight="1" x14ac:dyDescent="0.25">
      <c r="A43" s="1603"/>
      <c r="B43" s="616" t="s">
        <v>713</v>
      </c>
      <c r="C43" s="612">
        <v>0</v>
      </c>
      <c r="D43" s="309" t="s">
        <v>492</v>
      </c>
      <c r="F43" s="60" t="s">
        <v>815</v>
      </c>
      <c r="G43" s="60">
        <v>70</v>
      </c>
      <c r="H43" s="611"/>
      <c r="I43" s="611"/>
    </row>
    <row r="44" spans="1:11" ht="19.5" customHeight="1" x14ac:dyDescent="0.25">
      <c r="A44" s="664" t="s">
        <v>827</v>
      </c>
      <c r="B44" s="246" t="s">
        <v>714</v>
      </c>
      <c r="C44" s="619">
        <v>0</v>
      </c>
      <c r="D44" s="309" t="s">
        <v>260</v>
      </c>
      <c r="F44" s="60" t="s">
        <v>819</v>
      </c>
      <c r="G44" s="519">
        <v>70</v>
      </c>
      <c r="H44" s="611"/>
      <c r="I44" s="611"/>
    </row>
    <row r="45" spans="1:11" ht="19.5" customHeight="1" x14ac:dyDescent="0.25">
      <c r="A45" s="1602" t="s">
        <v>712</v>
      </c>
      <c r="B45" s="615" t="s">
        <v>715</v>
      </c>
      <c r="C45" s="612">
        <v>0</v>
      </c>
      <c r="D45" s="618" t="s">
        <v>491</v>
      </c>
      <c r="E45" s="1"/>
      <c r="F45" s="519" t="s">
        <v>820</v>
      </c>
      <c r="G45" s="519">
        <v>60</v>
      </c>
      <c r="H45" s="611"/>
      <c r="I45" s="611"/>
    </row>
    <row r="46" spans="1:11" ht="19.5" customHeight="1" x14ac:dyDescent="0.25">
      <c r="A46" s="1603"/>
      <c r="B46" s="616" t="s">
        <v>716</v>
      </c>
      <c r="C46" s="612">
        <v>0</v>
      </c>
      <c r="D46" s="309" t="s">
        <v>492</v>
      </c>
      <c r="E46" s="1"/>
      <c r="F46" s="60" t="s">
        <v>48</v>
      </c>
      <c r="G46" s="519">
        <v>60</v>
      </c>
      <c r="H46" s="611"/>
      <c r="I46" s="611"/>
    </row>
    <row r="47" spans="1:11" ht="19.5" customHeight="1" x14ac:dyDescent="0.25">
      <c r="A47" s="664" t="s">
        <v>827</v>
      </c>
      <c r="B47" s="617" t="s">
        <v>717</v>
      </c>
      <c r="C47" s="612">
        <v>0</v>
      </c>
      <c r="D47" s="309" t="s">
        <v>260</v>
      </c>
      <c r="F47" s="60" t="s">
        <v>821</v>
      </c>
      <c r="G47" s="60">
        <v>45</v>
      </c>
      <c r="H47" s="611"/>
      <c r="I47" s="611"/>
    </row>
    <row r="48" spans="1:11" ht="19.5" customHeight="1" x14ac:dyDescent="0.25">
      <c r="A48" s="70"/>
      <c r="B48" s="112" t="s">
        <v>261</v>
      </c>
      <c r="C48" s="308">
        <f>(C42*C43*C44/100)+(C45*C46*C47/100)</f>
        <v>0</v>
      </c>
      <c r="D48" s="310" t="s">
        <v>4</v>
      </c>
      <c r="F48" s="519" t="s">
        <v>816</v>
      </c>
      <c r="G48" s="519">
        <v>30</v>
      </c>
      <c r="H48" s="611"/>
      <c r="I48" s="611"/>
    </row>
    <row r="49" spans="1:9" ht="19.5" customHeight="1" x14ac:dyDescent="0.25">
      <c r="A49" s="306"/>
      <c r="B49" s="307" t="s">
        <v>136</v>
      </c>
      <c r="C49" s="308">
        <f>C41-C48</f>
        <v>95</v>
      </c>
      <c r="D49" s="311" t="s">
        <v>4</v>
      </c>
      <c r="E49" s="15"/>
      <c r="F49" s="60" t="s">
        <v>1034</v>
      </c>
      <c r="G49" s="519">
        <v>30</v>
      </c>
      <c r="H49" s="611"/>
      <c r="I49" s="611"/>
    </row>
    <row r="50" spans="1:9" ht="19.5" customHeight="1" x14ac:dyDescent="0.25">
      <c r="A50" s="41"/>
      <c r="B50" s="112"/>
      <c r="C50" s="80"/>
      <c r="D50" s="15"/>
      <c r="E50" s="15"/>
      <c r="F50" s="60" t="s">
        <v>187</v>
      </c>
      <c r="G50" s="519">
        <v>30</v>
      </c>
      <c r="H50" s="611"/>
      <c r="I50" s="611"/>
    </row>
    <row r="51" spans="1:9" ht="19.5" customHeight="1" x14ac:dyDescent="0.25">
      <c r="A51" s="36"/>
      <c r="B51" s="31"/>
      <c r="C51" s="312" t="s">
        <v>60</v>
      </c>
      <c r="D51" s="193"/>
      <c r="E51" s="15"/>
      <c r="F51" s="60" t="s">
        <v>823</v>
      </c>
      <c r="G51" s="519">
        <v>30</v>
      </c>
      <c r="H51" s="611"/>
      <c r="I51" s="611"/>
    </row>
    <row r="52" spans="1:9" ht="19.5" customHeight="1" x14ac:dyDescent="0.25">
      <c r="A52" s="26"/>
      <c r="B52" s="32" t="s">
        <v>12</v>
      </c>
      <c r="C52" s="206">
        <f>C7*0.86*C34/6.25</f>
        <v>83.24799999999999</v>
      </c>
      <c r="D52" s="92" t="str">
        <f>IF(C52&gt;200,"mehr als 200 kg Korn-N/ha ist unrealistisch!","Korn-N-Abfuhr")</f>
        <v>Korn-N-Abfuhr</v>
      </c>
      <c r="E52" s="15"/>
      <c r="F52" s="60" t="s">
        <v>824</v>
      </c>
      <c r="G52" s="519">
        <v>30</v>
      </c>
      <c r="H52" s="611"/>
      <c r="I52" s="611"/>
    </row>
    <row r="53" spans="1:9" ht="19.5" customHeight="1" x14ac:dyDescent="0.25">
      <c r="A53" s="26"/>
      <c r="B53" s="33" t="s">
        <v>14</v>
      </c>
      <c r="C53" s="186">
        <f>(135-0.5*C7)/100</f>
        <v>1.075</v>
      </c>
      <c r="D53" s="82" t="s">
        <v>344</v>
      </c>
      <c r="E53" s="15"/>
      <c r="F53" s="60" t="s">
        <v>825</v>
      </c>
      <c r="G53" s="519">
        <v>30</v>
      </c>
      <c r="H53" s="611"/>
      <c r="I53" s="611"/>
    </row>
    <row r="54" spans="1:9" ht="19.5" customHeight="1" x14ac:dyDescent="0.25">
      <c r="A54" s="26"/>
      <c r="B54" s="32" t="s">
        <v>13</v>
      </c>
      <c r="C54" s="201">
        <f>C7*C53*C34/25</f>
        <v>26.015000000000001</v>
      </c>
      <c r="D54" s="194"/>
      <c r="E54" s="15"/>
      <c r="F54" s="60" t="s">
        <v>180</v>
      </c>
      <c r="G54" s="519">
        <v>25</v>
      </c>
      <c r="H54" s="611"/>
      <c r="I54" s="611"/>
    </row>
    <row r="55" spans="1:9" ht="19.5" customHeight="1" x14ac:dyDescent="0.25">
      <c r="A55" s="26" t="s">
        <v>68</v>
      </c>
      <c r="B55" s="41" t="s">
        <v>65</v>
      </c>
      <c r="C55" s="101">
        <f>C36-C52</f>
        <v>-27.910858500000003</v>
      </c>
      <c r="D55" s="202" t="str">
        <f>IF(C55&gt;50,"!!!",(IF(C55&gt;40,"!!",(IF(C55&gt;30,"!"," ")))))</f>
        <v xml:space="preserve"> </v>
      </c>
      <c r="F55" s="60" t="s">
        <v>817</v>
      </c>
      <c r="G55" s="519">
        <v>25</v>
      </c>
    </row>
    <row r="56" spans="1:9" ht="19.5" customHeight="1" x14ac:dyDescent="0.25">
      <c r="A56" s="629" t="s">
        <v>739</v>
      </c>
      <c r="B56" s="41" t="s">
        <v>66</v>
      </c>
      <c r="C56" s="187">
        <f>C36-C52-C54</f>
        <v>-53.925858500000004</v>
      </c>
      <c r="D56" s="203"/>
      <c r="F56" s="519" t="s">
        <v>818</v>
      </c>
      <c r="G56" s="519">
        <v>25</v>
      </c>
    </row>
    <row r="57" spans="1:9" ht="19.5" customHeight="1" x14ac:dyDescent="0.25">
      <c r="A57" s="628" t="s">
        <v>67</v>
      </c>
      <c r="B57" s="41" t="s">
        <v>65</v>
      </c>
      <c r="C57" s="187">
        <f>C17-C52</f>
        <v>11.75200000000001</v>
      </c>
      <c r="D57" s="202" t="str">
        <f>IF(C57&gt;50,"!!!",(IF(C57&gt;40,"!!",(IF(C57&gt;30,"!"," ")))))</f>
        <v xml:space="preserve"> </v>
      </c>
      <c r="F57" s="519" t="s">
        <v>826</v>
      </c>
      <c r="G57" s="519">
        <v>10</v>
      </c>
    </row>
    <row r="58" spans="1:9" ht="19.5" customHeight="1" x14ac:dyDescent="0.25">
      <c r="A58" s="729" t="s">
        <v>739</v>
      </c>
      <c r="B58" s="85" t="s">
        <v>66</v>
      </c>
      <c r="C58" s="188">
        <f>C17-C52-C54</f>
        <v>-14.262999999999991</v>
      </c>
      <c r="D58" s="205"/>
      <c r="F58" s="519" t="s">
        <v>181</v>
      </c>
      <c r="G58" s="519">
        <v>10</v>
      </c>
    </row>
    <row r="59" spans="1:9" ht="19.5" customHeight="1" x14ac:dyDescent="0.25">
      <c r="E59" s="15"/>
      <c r="F59" s="519" t="s">
        <v>188</v>
      </c>
      <c r="G59" s="519">
        <v>5</v>
      </c>
    </row>
    <row r="60" spans="1:9" ht="19.5" customHeight="1" x14ac:dyDescent="0.25">
      <c r="A60" s="91" t="s">
        <v>167</v>
      </c>
      <c r="B60" s="89"/>
      <c r="C60" s="313"/>
      <c r="D60" s="15"/>
      <c r="E60" s="15"/>
      <c r="F60" s="519" t="s">
        <v>182</v>
      </c>
      <c r="G60" s="519">
        <v>3</v>
      </c>
    </row>
    <row r="61" spans="1:9" ht="39.75" customHeight="1" x14ac:dyDescent="0.25">
      <c r="A61" s="661" t="s">
        <v>334</v>
      </c>
      <c r="B61" s="1596" t="s">
        <v>407</v>
      </c>
      <c r="C61" s="1267"/>
      <c r="D61" s="1267"/>
      <c r="E61" s="15"/>
      <c r="F61" s="15"/>
      <c r="G61" s="15"/>
    </row>
    <row r="62" spans="1:9" ht="16.5" customHeight="1" x14ac:dyDescent="0.25">
      <c r="A62" s="661"/>
      <c r="B62" s="88" t="s">
        <v>408</v>
      </c>
      <c r="C62" s="90" t="s">
        <v>409</v>
      </c>
      <c r="D62" s="15"/>
      <c r="E62" s="15"/>
      <c r="F62" s="15"/>
      <c r="G62" s="15"/>
    </row>
    <row r="63" spans="1:9" ht="21" customHeight="1" x14ac:dyDescent="0.25">
      <c r="A63" s="661"/>
      <c r="B63" s="88" t="s">
        <v>349</v>
      </c>
      <c r="C63" s="90" t="s">
        <v>350</v>
      </c>
      <c r="D63" s="15"/>
      <c r="E63" s="15"/>
      <c r="F63" s="15"/>
      <c r="G63" s="15"/>
    </row>
    <row r="64" spans="1:9" ht="15.75" customHeight="1" x14ac:dyDescent="0.25">
      <c r="A64" s="661"/>
      <c r="B64" s="15"/>
      <c r="C64" s="15"/>
      <c r="D64" s="15"/>
      <c r="E64" s="15"/>
      <c r="F64" s="15"/>
      <c r="G64" s="15"/>
    </row>
    <row r="65" spans="1:7" ht="93.75" customHeight="1" x14ac:dyDescent="0.25">
      <c r="A65" s="661" t="s">
        <v>330</v>
      </c>
      <c r="B65" s="1596" t="s">
        <v>410</v>
      </c>
      <c r="C65" s="1463"/>
      <c r="D65" s="1463"/>
      <c r="E65" s="15"/>
      <c r="F65" s="15"/>
      <c r="G65" s="15"/>
    </row>
    <row r="66" spans="1:7" ht="12.75" customHeight="1" x14ac:dyDescent="0.25">
      <c r="A66" s="661"/>
      <c r="B66" s="89"/>
      <c r="C66" s="313"/>
      <c r="D66" s="15"/>
      <c r="E66" s="80"/>
      <c r="F66" s="15"/>
      <c r="G66" s="15"/>
    </row>
    <row r="67" spans="1:7" ht="22.5" customHeight="1" x14ac:dyDescent="0.25">
      <c r="A67" s="661"/>
      <c r="B67" s="88" t="s">
        <v>411</v>
      </c>
      <c r="C67" s="313"/>
      <c r="D67" s="80" t="s">
        <v>336</v>
      </c>
      <c r="E67" s="80"/>
      <c r="F67" s="1597"/>
      <c r="G67" s="15"/>
    </row>
    <row r="68" spans="1:7" ht="27" customHeight="1" x14ac:dyDescent="0.25">
      <c r="A68" s="661" t="s">
        <v>168</v>
      </c>
      <c r="B68" s="88" t="s">
        <v>412</v>
      </c>
      <c r="C68" s="313"/>
      <c r="D68" s="313" t="s">
        <v>390</v>
      </c>
      <c r="E68" s="400"/>
      <c r="F68" s="1597"/>
      <c r="G68" s="400"/>
    </row>
    <row r="69" spans="1:7" ht="99" customHeight="1" x14ac:dyDescent="0.25">
      <c r="A69" s="661" t="s">
        <v>169</v>
      </c>
      <c r="B69" s="88" t="s">
        <v>413</v>
      </c>
      <c r="C69" s="313"/>
      <c r="D69" s="613" t="s">
        <v>414</v>
      </c>
      <c r="E69" s="15"/>
      <c r="F69" s="15"/>
      <c r="G69" s="15"/>
    </row>
    <row r="70" spans="1:7" ht="27.75" customHeight="1" x14ac:dyDescent="0.25">
      <c r="A70" s="661" t="s">
        <v>346</v>
      </c>
      <c r="B70" s="88" t="s">
        <v>337</v>
      </c>
      <c r="C70" s="90"/>
      <c r="D70" s="15" t="s">
        <v>373</v>
      </c>
      <c r="E70" s="15"/>
      <c r="F70" s="15"/>
      <c r="G70" s="15"/>
    </row>
    <row r="71" spans="1:7" ht="21.75" customHeight="1" x14ac:dyDescent="0.25">
      <c r="A71" s="41" t="s">
        <v>416</v>
      </c>
      <c r="B71" s="15" t="s">
        <v>341</v>
      </c>
      <c r="C71" s="15"/>
      <c r="E71" s="15"/>
      <c r="F71" s="15"/>
      <c r="G71" s="15"/>
    </row>
    <row r="72" spans="1:7" ht="26.25" customHeight="1" x14ac:dyDescent="0.25">
      <c r="A72" s="41"/>
      <c r="B72" s="15" t="s">
        <v>340</v>
      </c>
      <c r="C72" s="15"/>
      <c r="E72" s="15"/>
      <c r="F72" s="15"/>
      <c r="G72" s="15"/>
    </row>
    <row r="73" spans="1:7" ht="14.25" customHeight="1" x14ac:dyDescent="0.25">
      <c r="A73" s="41"/>
      <c r="B73" s="15"/>
      <c r="C73" s="15"/>
      <c r="E73" s="15"/>
      <c r="F73" s="15"/>
      <c r="G73" s="15"/>
    </row>
    <row r="74" spans="1:7" ht="16.5" customHeight="1" x14ac:dyDescent="0.25">
      <c r="A74" s="661" t="s">
        <v>417</v>
      </c>
      <c r="B74" s="15" t="s">
        <v>345</v>
      </c>
      <c r="C74" s="313"/>
      <c r="E74" s="15"/>
      <c r="F74" s="15"/>
      <c r="G74" s="15"/>
    </row>
    <row r="75" spans="1:7" ht="21" customHeight="1" x14ac:dyDescent="0.25">
      <c r="A75" s="41"/>
      <c r="B75" s="15" t="s">
        <v>415</v>
      </c>
      <c r="C75" s="80"/>
    </row>
  </sheetData>
  <sheetProtection sheet="1" formatCells="0" formatColumns="0" formatRows="0" selectLockedCells="1"/>
  <mergeCells count="13">
    <mergeCell ref="B61:D61"/>
    <mergeCell ref="F67:F68"/>
    <mergeCell ref="B65:D65"/>
    <mergeCell ref="A45:A46"/>
    <mergeCell ref="A28:B28"/>
    <mergeCell ref="A42:A43"/>
    <mergeCell ref="A5:D5"/>
    <mergeCell ref="A6:B6"/>
    <mergeCell ref="A19:B19"/>
    <mergeCell ref="A20:A24"/>
    <mergeCell ref="A25:A26"/>
    <mergeCell ref="B25:B26"/>
    <mergeCell ref="C25:D26"/>
  </mergeCells>
  <dataValidations count="6">
    <dataValidation type="list" allowBlank="1" sqref="B13" xr:uid="{00000000-0002-0000-1800-000000000000}">
      <formula1>$G$21:$G$31</formula1>
    </dataValidation>
    <dataValidation type="list" allowBlank="1" showInputMessage="1" showErrorMessage="1" sqref="B31" xr:uid="{00000000-0002-0000-1800-000001000000}">
      <formula1>J21:J27</formula1>
    </dataValidation>
    <dataValidation type="list" allowBlank="1" sqref="C34" xr:uid="{00000000-0002-0000-1800-000002000000}">
      <mc:AlternateContent xmlns:x12ac="http://schemas.microsoft.com/office/spreadsheetml/2011/1/ac" xmlns:mc="http://schemas.openxmlformats.org/markup-compatibility/2006">
        <mc:Choice Requires="x12ac">
          <x12ac:list>8,"8,5",9,"9,5",10,"10,5",11,"11,5",12,"12,5",13,"13,5",14,"14,5"</x12ac:list>
        </mc:Choice>
        <mc:Fallback>
          <formula1>"8,8,5,9,9,5,10,10,5,11,11,5,12,12,5,13,13,5,14,14,5"</formula1>
        </mc:Fallback>
      </mc:AlternateContent>
    </dataValidation>
    <dataValidation type="list" allowBlank="1" sqref="B16" xr:uid="{00000000-0002-0000-1800-000003000000}">
      <formula1>"bis 4 %, größer 4 %"</formula1>
    </dataValidation>
    <dataValidation type="list" allowBlank="1" sqref="J8:J9" xr:uid="{00000000-0002-0000-1800-000004000000}">
      <formula1>"Humusgehalt"</formula1>
    </dataValidation>
    <dataValidation type="list" allowBlank="1" sqref="B14" xr:uid="{00000000-0002-0000-1800-000005000000}">
      <formula1>Vorfrucht</formula1>
    </dataValidation>
  </dataValidations>
  <pageMargins left="0.7" right="0.7" top="0.78740157499999996" bottom="0.78740157499999996" header="0.3" footer="0.3"/>
  <pageSetup paperSize="9" scale="69" orientation="portrait" horizontalDpi="4294967293" verticalDpi="4294967293" r:id="rId1"/>
  <colBreaks count="1" manualBreakCount="1">
    <brk id="4" max="47"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Tabelle29">
    <tabColor theme="0"/>
    <pageSetUpPr fitToPage="1"/>
  </sheetPr>
  <dimension ref="A1:O113"/>
  <sheetViews>
    <sheetView zoomScaleNormal="100" workbookViewId="0">
      <selection activeCell="G7" sqref="G7"/>
    </sheetView>
  </sheetViews>
  <sheetFormatPr baseColWidth="10" defaultRowHeight="15" x14ac:dyDescent="0.25"/>
  <cols>
    <col min="1" max="1" width="41.5703125" style="32" customWidth="1"/>
    <col min="2" max="2" width="38.7109375" style="8" customWidth="1"/>
    <col min="3" max="3" width="12.140625" style="3" customWidth="1"/>
    <col min="4" max="4" width="11.85546875" style="3" customWidth="1"/>
    <col min="5" max="5" width="12.28515625" style="3" customWidth="1"/>
    <col min="6" max="6" width="12.140625" style="3" customWidth="1"/>
    <col min="7" max="7" width="35.28515625" customWidth="1"/>
    <col min="8" max="8" width="25.42578125" style="3" customWidth="1"/>
    <col min="9" max="9" width="10.28515625" style="3" customWidth="1"/>
    <col min="10" max="10" width="34.7109375" customWidth="1"/>
    <col min="11" max="11" width="27.140625" style="3" customWidth="1"/>
    <col min="12" max="12" width="23.5703125" customWidth="1"/>
    <col min="13" max="13" width="26.140625" customWidth="1"/>
  </cols>
  <sheetData>
    <row r="1" spans="1:15" x14ac:dyDescent="0.25">
      <c r="B1" s="112" t="str">
        <f>'DüV-N-Ackerbau (1)'!C1</f>
        <v>Testbetrieb</v>
      </c>
      <c r="C1" s="112" t="str">
        <f>'DüV-N-Ackerbau (1)'!F1</f>
        <v>Erntejahr</v>
      </c>
      <c r="D1" s="80"/>
      <c r="H1" s="6" t="s">
        <v>36</v>
      </c>
      <c r="I1" s="8"/>
    </row>
    <row r="2" spans="1:15" ht="15.75" x14ac:dyDescent="0.25">
      <c r="B2" s="112">
        <f>'DüV-N-Ackerbau (1)'!C2</f>
        <v>1</v>
      </c>
      <c r="C2" s="112">
        <f>'DüV-N-Ackerbau (1)'!G1</f>
        <v>2022</v>
      </c>
      <c r="D2" s="60"/>
      <c r="E2" s="445"/>
      <c r="F2" s="445"/>
      <c r="H2" s="7" t="s">
        <v>34</v>
      </c>
      <c r="I2" s="8"/>
    </row>
    <row r="3" spans="1:15" x14ac:dyDescent="0.25">
      <c r="B3" s="112">
        <f>'DüV-N-Ackerbau (1)'!C3</f>
        <v>123456</v>
      </c>
      <c r="C3" s="41"/>
      <c r="D3" s="41"/>
    </row>
    <row r="4" spans="1:15" ht="9.75" customHeight="1" thickBot="1" x14ac:dyDescent="0.3"/>
    <row r="5" spans="1:15" ht="21.75" thickBot="1" x14ac:dyDescent="0.3">
      <c r="A5" s="1604" t="s">
        <v>126</v>
      </c>
      <c r="B5" s="1605"/>
      <c r="C5" s="1605"/>
      <c r="D5" s="1605"/>
      <c r="E5" s="1605"/>
      <c r="F5" s="1605"/>
      <c r="G5" s="1606"/>
    </row>
    <row r="6" spans="1:15" ht="36" customHeight="1" thickBot="1" x14ac:dyDescent="0.3">
      <c r="A6" s="1607" t="s">
        <v>580</v>
      </c>
      <c r="B6" s="1608"/>
      <c r="C6" s="1397" t="s">
        <v>579</v>
      </c>
      <c r="D6" s="1438"/>
      <c r="E6" s="1437"/>
      <c r="F6" s="1441"/>
      <c r="G6" s="346" t="s">
        <v>534</v>
      </c>
      <c r="H6" s="8"/>
      <c r="I6" s="8"/>
      <c r="J6" s="354"/>
      <c r="K6" s="386" t="s">
        <v>5</v>
      </c>
      <c r="L6" s="354"/>
      <c r="M6" s="354"/>
      <c r="N6" s="354"/>
      <c r="O6" s="354"/>
    </row>
    <row r="7" spans="1:15" s="15" customFormat="1" ht="39" customHeight="1" x14ac:dyDescent="0.25">
      <c r="A7" s="63"/>
      <c r="B7" s="8"/>
      <c r="C7" s="1642" t="s">
        <v>483</v>
      </c>
      <c r="D7" s="1346"/>
      <c r="E7" s="1643" t="s">
        <v>482</v>
      </c>
      <c r="F7" s="1344"/>
      <c r="G7" s="326"/>
      <c r="H7" s="245"/>
      <c r="I7" s="245"/>
      <c r="J7" s="351" t="s">
        <v>6</v>
      </c>
      <c r="K7" s="352"/>
      <c r="L7" s="352" t="s">
        <v>159</v>
      </c>
      <c r="M7" s="352"/>
      <c r="N7" s="352"/>
      <c r="O7" s="352"/>
    </row>
    <row r="8" spans="1:15" ht="21" customHeight="1" x14ac:dyDescent="0.25">
      <c r="A8" s="705"/>
      <c r="B8" s="146" t="s">
        <v>484</v>
      </c>
      <c r="C8" s="1638">
        <v>700</v>
      </c>
      <c r="D8" s="1639"/>
      <c r="E8" s="1640">
        <v>750</v>
      </c>
      <c r="F8" s="1641"/>
      <c r="G8" s="326"/>
      <c r="H8" s="24"/>
      <c r="I8" s="24"/>
      <c r="J8" s="352" t="s">
        <v>510</v>
      </c>
      <c r="K8" s="352">
        <v>0</v>
      </c>
      <c r="L8" s="352" t="s">
        <v>160</v>
      </c>
      <c r="M8" s="352">
        <v>0</v>
      </c>
      <c r="N8" s="354"/>
      <c r="O8" s="354"/>
    </row>
    <row r="9" spans="1:15" ht="15.75" x14ac:dyDescent="0.25">
      <c r="A9" s="63"/>
      <c r="B9" s="32"/>
      <c r="C9" s="1453" t="s">
        <v>4</v>
      </c>
      <c r="D9" s="1458"/>
      <c r="E9" s="1453" t="s">
        <v>4</v>
      </c>
      <c r="F9" s="1458"/>
      <c r="G9" s="326"/>
      <c r="H9" s="24"/>
      <c r="I9" s="24"/>
      <c r="J9" s="352" t="s">
        <v>22</v>
      </c>
      <c r="K9" s="352">
        <v>10</v>
      </c>
      <c r="L9" s="352" t="s">
        <v>161</v>
      </c>
      <c r="M9" s="352">
        <v>20</v>
      </c>
      <c r="N9" s="354"/>
      <c r="O9" s="354"/>
    </row>
    <row r="10" spans="1:15" ht="18" customHeight="1" x14ac:dyDescent="0.25">
      <c r="A10" s="63"/>
      <c r="B10" s="41" t="s">
        <v>485</v>
      </c>
      <c r="C10" s="1644">
        <f>IF(C8=0,0,IF(C8&lt;650,72.5+C8*0.15,(IF(C8&gt;=650,170+(C8-650)*0.1))))</f>
        <v>175</v>
      </c>
      <c r="D10" s="1458"/>
      <c r="E10" s="1645">
        <f>IF(E8=0,0,(IF(E8&lt;650,72.5+E8*0.15,(IF(E8&gt;=650,170+(E8-650)*0.1)))))</f>
        <v>180</v>
      </c>
      <c r="F10" s="1349"/>
      <c r="G10" s="327"/>
      <c r="J10" s="352" t="s">
        <v>535</v>
      </c>
      <c r="K10" s="352">
        <v>10</v>
      </c>
      <c r="L10" s="354"/>
      <c r="M10" s="354"/>
      <c r="N10" s="354"/>
      <c r="O10" s="354"/>
    </row>
    <row r="11" spans="1:15" ht="16.5" customHeight="1" x14ac:dyDescent="0.35">
      <c r="A11" s="63"/>
      <c r="B11" s="32" t="s">
        <v>38</v>
      </c>
      <c r="C11" s="1646">
        <v>25</v>
      </c>
      <c r="D11" s="1647"/>
      <c r="E11" s="1646">
        <v>20</v>
      </c>
      <c r="F11" s="1647"/>
      <c r="G11" s="327"/>
      <c r="J11" s="352" t="s">
        <v>7</v>
      </c>
      <c r="K11" s="352">
        <v>10</v>
      </c>
      <c r="L11" s="354"/>
      <c r="M11" s="354"/>
      <c r="N11" s="354"/>
      <c r="O11" s="354"/>
    </row>
    <row r="12" spans="1:15" ht="18" x14ac:dyDescent="0.35">
      <c r="A12" s="63"/>
      <c r="B12" s="32" t="s">
        <v>39</v>
      </c>
      <c r="C12" s="1646">
        <v>15</v>
      </c>
      <c r="D12" s="1647"/>
      <c r="E12" s="1646">
        <v>15</v>
      </c>
      <c r="F12" s="1647"/>
      <c r="G12" s="327"/>
      <c r="J12" s="352" t="s">
        <v>17</v>
      </c>
      <c r="K12" s="352">
        <v>20</v>
      </c>
      <c r="L12" s="354"/>
      <c r="M12" s="354"/>
      <c r="N12" s="354"/>
      <c r="O12" s="354"/>
    </row>
    <row r="13" spans="1:15" ht="18" x14ac:dyDescent="0.35">
      <c r="A13" s="63"/>
      <c r="B13" s="32" t="s">
        <v>40</v>
      </c>
      <c r="C13" s="1648">
        <v>5</v>
      </c>
      <c r="D13" s="1649"/>
      <c r="E13" s="1648">
        <v>10</v>
      </c>
      <c r="F13" s="1649"/>
      <c r="G13" s="327"/>
      <c r="J13" s="352" t="s">
        <v>23</v>
      </c>
      <c r="K13" s="352">
        <v>0</v>
      </c>
      <c r="L13" s="354"/>
      <c r="M13" s="354"/>
      <c r="N13" s="354"/>
      <c r="O13" s="354"/>
    </row>
    <row r="14" spans="1:15" ht="15.75" x14ac:dyDescent="0.25">
      <c r="A14" s="63"/>
      <c r="B14" s="389" t="s">
        <v>488</v>
      </c>
      <c r="C14" s="1650"/>
      <c r="D14" s="1651"/>
      <c r="E14" s="1650"/>
      <c r="F14" s="1651"/>
      <c r="G14" s="461" t="s">
        <v>489</v>
      </c>
      <c r="J14" s="352" t="s">
        <v>20</v>
      </c>
      <c r="K14" s="352">
        <v>20</v>
      </c>
      <c r="L14" s="354"/>
      <c r="M14" s="354"/>
      <c r="N14" s="354"/>
      <c r="O14" s="354"/>
    </row>
    <row r="15" spans="1:15" x14ac:dyDescent="0.25">
      <c r="A15" s="63" t="s">
        <v>8</v>
      </c>
      <c r="B15" s="331" t="s">
        <v>30</v>
      </c>
      <c r="C15" s="1654">
        <f>VLOOKUP(B15,J22:K32,2,FALSE)</f>
        <v>40</v>
      </c>
      <c r="D15" s="1655"/>
      <c r="E15" s="1654">
        <f>VLOOKUP(G15,J22:K32,2,FALSE)</f>
        <v>20</v>
      </c>
      <c r="F15" s="1655"/>
      <c r="G15" s="328" t="s">
        <v>27</v>
      </c>
      <c r="J15" s="352" t="s">
        <v>19</v>
      </c>
      <c r="K15" s="352">
        <v>10</v>
      </c>
      <c r="L15" s="354"/>
      <c r="M15" s="354"/>
      <c r="N15" s="354"/>
      <c r="O15" s="354"/>
    </row>
    <row r="16" spans="1:15" x14ac:dyDescent="0.25">
      <c r="A16" s="63" t="s">
        <v>6</v>
      </c>
      <c r="B16" s="331" t="s">
        <v>510</v>
      </c>
      <c r="C16" s="1654">
        <f>VLOOKUP(B16,J8:K18,2,FALSE)</f>
        <v>0</v>
      </c>
      <c r="D16" s="1655"/>
      <c r="E16" s="1654">
        <f>VLOOKUP(G16,J8:K18,2,FALSE)</f>
        <v>0</v>
      </c>
      <c r="F16" s="1655"/>
      <c r="G16" s="329" t="s">
        <v>510</v>
      </c>
      <c r="J16" s="352" t="s">
        <v>536</v>
      </c>
      <c r="K16" s="352">
        <v>0</v>
      </c>
      <c r="L16" s="354"/>
      <c r="M16" s="354"/>
      <c r="N16" s="354"/>
      <c r="O16" s="354"/>
    </row>
    <row r="17" spans="1:15" ht="15.75" x14ac:dyDescent="0.25">
      <c r="A17" s="59" t="s">
        <v>1073</v>
      </c>
      <c r="B17" s="246" t="s">
        <v>24</v>
      </c>
      <c r="C17" s="1656">
        <v>0</v>
      </c>
      <c r="D17" s="1657"/>
      <c r="E17" s="1658">
        <v>0</v>
      </c>
      <c r="F17" s="1657"/>
      <c r="G17" s="247" t="s">
        <v>24</v>
      </c>
      <c r="H17" s="358" t="str">
        <f>IF(OR(C17&gt;20,E17&gt;20),"Sind Sie sicher?"," ")</f>
        <v xml:space="preserve"> </v>
      </c>
      <c r="J17" s="352" t="s">
        <v>21</v>
      </c>
      <c r="K17" s="352">
        <v>10</v>
      </c>
      <c r="L17" s="354"/>
      <c r="M17" s="354"/>
      <c r="N17" s="354"/>
      <c r="O17" s="354"/>
    </row>
    <row r="18" spans="1:15" ht="16.5" thickBot="1" x14ac:dyDescent="0.3">
      <c r="A18" s="59" t="s">
        <v>159</v>
      </c>
      <c r="B18" s="332" t="s">
        <v>160</v>
      </c>
      <c r="C18" s="1662">
        <f>VLOOKUP(B18,L8:M9,2,FALSE)</f>
        <v>0</v>
      </c>
      <c r="D18" s="1623"/>
      <c r="E18" s="1663">
        <f>VLOOKUP(G18,L8:M9,2,FALSE)</f>
        <v>0</v>
      </c>
      <c r="F18" s="1337"/>
      <c r="G18" s="330" t="s">
        <v>160</v>
      </c>
      <c r="H18" s="54"/>
      <c r="J18" s="352" t="s">
        <v>18</v>
      </c>
      <c r="K18" s="352">
        <v>20</v>
      </c>
      <c r="L18" s="354"/>
      <c r="M18" s="354"/>
      <c r="N18" s="354"/>
      <c r="O18" s="354"/>
    </row>
    <row r="19" spans="1:15" ht="20.25" customHeight="1" thickBot="1" x14ac:dyDescent="0.3">
      <c r="A19" s="251"/>
      <c r="B19" s="61" t="s">
        <v>486</v>
      </c>
      <c r="C19" s="1664">
        <f>C10-SUM(C11:C18)</f>
        <v>90</v>
      </c>
      <c r="D19" s="1665"/>
      <c r="E19" s="1664">
        <f>E10-SUM(E11:E18)</f>
        <v>115</v>
      </c>
      <c r="F19" s="1665"/>
      <c r="G19" s="244" t="s">
        <v>477</v>
      </c>
      <c r="I19" s="54"/>
      <c r="J19" s="354"/>
      <c r="K19" s="354"/>
      <c r="L19" s="354"/>
      <c r="M19" s="354"/>
      <c r="N19" s="354"/>
      <c r="O19" s="354"/>
    </row>
    <row r="20" spans="1:15" ht="11.25" customHeight="1" thickBot="1" x14ac:dyDescent="0.3">
      <c r="B20" s="141"/>
      <c r="C20" s="10"/>
      <c r="D20" s="10"/>
      <c r="E20" s="10"/>
      <c r="F20" s="10"/>
      <c r="G20" s="252"/>
      <c r="I20" s="54"/>
      <c r="J20" s="354"/>
      <c r="K20" s="354"/>
      <c r="L20" s="354"/>
      <c r="M20" s="354"/>
      <c r="N20" s="354"/>
      <c r="O20" s="354"/>
    </row>
    <row r="21" spans="1:15" ht="22.5" customHeight="1" x14ac:dyDescent="0.25">
      <c r="A21" s="1607" t="s">
        <v>584</v>
      </c>
      <c r="B21" s="1609"/>
      <c r="C21" s="1652" t="s">
        <v>593</v>
      </c>
      <c r="D21" s="1653"/>
      <c r="E21" s="1652" t="s">
        <v>593</v>
      </c>
      <c r="F21" s="1653"/>
      <c r="G21" s="511"/>
      <c r="I21" s="54"/>
      <c r="J21" s="386" t="s">
        <v>8</v>
      </c>
      <c r="K21" s="354"/>
      <c r="L21" s="354"/>
      <c r="M21" s="386" t="s">
        <v>135</v>
      </c>
      <c r="N21" s="354"/>
      <c r="O21" s="354"/>
    </row>
    <row r="22" spans="1:15" ht="19.5" customHeight="1" x14ac:dyDescent="0.25">
      <c r="A22" s="1610" t="s">
        <v>596</v>
      </c>
      <c r="B22" s="441" t="s">
        <v>585</v>
      </c>
      <c r="C22" s="468" t="s">
        <v>601</v>
      </c>
      <c r="D22" s="468" t="s">
        <v>602</v>
      </c>
      <c r="E22" s="468" t="s">
        <v>601</v>
      </c>
      <c r="F22" s="468" t="s">
        <v>602</v>
      </c>
      <c r="G22" s="512"/>
      <c r="I22" s="54"/>
      <c r="J22" s="352" t="s">
        <v>31</v>
      </c>
      <c r="K22" s="352">
        <v>0</v>
      </c>
      <c r="L22" s="354"/>
      <c r="M22" s="971" t="s">
        <v>1225</v>
      </c>
      <c r="N22" s="971">
        <v>1</v>
      </c>
      <c r="O22" s="354"/>
    </row>
    <row r="23" spans="1:15" ht="19.5" customHeight="1" x14ac:dyDescent="0.25">
      <c r="A23" s="1611"/>
      <c r="B23" s="442" t="s">
        <v>589</v>
      </c>
      <c r="C23" s="473">
        <f>C25*2</f>
        <v>140</v>
      </c>
      <c r="D23" s="473">
        <f t="shared" ref="D23:F23" si="0">D25*2</f>
        <v>252</v>
      </c>
      <c r="E23" s="473">
        <f t="shared" si="0"/>
        <v>150</v>
      </c>
      <c r="F23" s="473">
        <f t="shared" si="0"/>
        <v>270</v>
      </c>
      <c r="G23" s="512"/>
      <c r="I23" s="54"/>
      <c r="J23" s="354" t="s">
        <v>25</v>
      </c>
      <c r="K23" s="354">
        <v>0</v>
      </c>
      <c r="L23" s="354"/>
      <c r="M23" s="971" t="s">
        <v>184</v>
      </c>
      <c r="N23" s="971">
        <v>0.5</v>
      </c>
      <c r="O23" s="354"/>
    </row>
    <row r="24" spans="1:15" ht="19.5" customHeight="1" x14ac:dyDescent="0.25">
      <c r="A24" s="1611"/>
      <c r="B24" s="442" t="s">
        <v>590</v>
      </c>
      <c r="C24" s="226">
        <f>C25*1.5</f>
        <v>105</v>
      </c>
      <c r="D24" s="226">
        <f t="shared" ref="D24:F24" si="1">D25*1.5</f>
        <v>189</v>
      </c>
      <c r="E24" s="226">
        <f t="shared" si="1"/>
        <v>112.5</v>
      </c>
      <c r="F24" s="226">
        <f t="shared" si="1"/>
        <v>202.5</v>
      </c>
      <c r="G24" s="512"/>
      <c r="I24" s="54"/>
      <c r="J24" s="354" t="s">
        <v>26</v>
      </c>
      <c r="K24" s="354">
        <v>0</v>
      </c>
      <c r="L24" s="354"/>
      <c r="M24" s="971" t="s">
        <v>1227</v>
      </c>
      <c r="N24" s="971">
        <v>0.6</v>
      </c>
      <c r="O24" s="354"/>
    </row>
    <row r="25" spans="1:15" ht="19.5" customHeight="1" x14ac:dyDescent="0.25">
      <c r="A25" s="1611"/>
      <c r="B25" s="442" t="s">
        <v>591</v>
      </c>
      <c r="C25" s="446">
        <f>C8*0.1</f>
        <v>70</v>
      </c>
      <c r="D25" s="459">
        <f>C8*0.18</f>
        <v>126</v>
      </c>
      <c r="E25" s="446">
        <f>E8*0.1</f>
        <v>75</v>
      </c>
      <c r="F25" s="469">
        <f>E8*0.18</f>
        <v>135</v>
      </c>
      <c r="G25" s="512"/>
      <c r="I25" s="54"/>
      <c r="J25" s="354" t="s">
        <v>27</v>
      </c>
      <c r="K25" s="354">
        <v>20</v>
      </c>
      <c r="L25" s="354"/>
      <c r="M25" s="971" t="s">
        <v>1228</v>
      </c>
      <c r="N25" s="971">
        <v>0.4</v>
      </c>
      <c r="O25" s="354"/>
    </row>
    <row r="26" spans="1:15" ht="19.5" customHeight="1" x14ac:dyDescent="0.25">
      <c r="A26" s="1421"/>
      <c r="B26" s="467" t="s">
        <v>592</v>
      </c>
      <c r="C26" s="460">
        <f>C25*0.5</f>
        <v>35</v>
      </c>
      <c r="D26" s="235">
        <f>D25*0.5</f>
        <v>63</v>
      </c>
      <c r="E26" s="460">
        <f>E25*0.5</f>
        <v>37.5</v>
      </c>
      <c r="F26" s="470">
        <f>F25*0.5</f>
        <v>67.5</v>
      </c>
      <c r="G26" s="512"/>
      <c r="I26" s="54"/>
      <c r="J26" s="354" t="s">
        <v>28</v>
      </c>
      <c r="K26" s="354">
        <v>10</v>
      </c>
      <c r="L26" s="354"/>
      <c r="M26" s="971" t="s">
        <v>1226</v>
      </c>
      <c r="N26" s="971">
        <v>0.35</v>
      </c>
      <c r="O26" s="354"/>
    </row>
    <row r="27" spans="1:15" ht="29.25" customHeight="1" x14ac:dyDescent="0.25">
      <c r="A27" s="1359"/>
      <c r="B27" s="1614" t="s">
        <v>594</v>
      </c>
      <c r="C27" s="1666" t="s">
        <v>597</v>
      </c>
      <c r="D27" s="1360"/>
      <c r="E27" s="1360"/>
      <c r="F27" s="1344"/>
      <c r="G27" s="512"/>
      <c r="I27" s="54"/>
      <c r="J27" s="354" t="s">
        <v>29</v>
      </c>
      <c r="K27" s="354">
        <v>10</v>
      </c>
      <c r="L27" s="354"/>
      <c r="M27" s="971" t="s">
        <v>48</v>
      </c>
      <c r="N27" s="971">
        <v>0.3</v>
      </c>
      <c r="O27" s="354"/>
    </row>
    <row r="28" spans="1:15" ht="30.75" customHeight="1" thickBot="1" x14ac:dyDescent="0.3">
      <c r="A28" s="1613"/>
      <c r="B28" s="1615"/>
      <c r="C28" s="1667"/>
      <c r="D28" s="1668"/>
      <c r="E28" s="1668"/>
      <c r="F28" s="1377"/>
      <c r="G28" s="513"/>
      <c r="I28" s="54"/>
      <c r="J28" s="352" t="s">
        <v>681</v>
      </c>
      <c r="K28" s="352">
        <v>30</v>
      </c>
      <c r="L28" s="354"/>
      <c r="M28" s="971" t="s">
        <v>31</v>
      </c>
      <c r="N28" s="971">
        <v>0</v>
      </c>
      <c r="O28" s="354"/>
    </row>
    <row r="29" spans="1:15" ht="12" customHeight="1" x14ac:dyDescent="0.25">
      <c r="B29" s="141"/>
      <c r="C29" s="10"/>
      <c r="D29" s="10"/>
      <c r="E29" s="10"/>
      <c r="F29" s="10"/>
      <c r="G29" s="252"/>
      <c r="J29" s="354" t="s">
        <v>30</v>
      </c>
      <c r="K29" s="354">
        <v>40</v>
      </c>
      <c r="L29" s="354"/>
      <c r="M29" s="354"/>
      <c r="N29" s="354"/>
      <c r="O29" s="354"/>
    </row>
    <row r="30" spans="1:15" ht="18.75" customHeight="1" x14ac:dyDescent="0.25">
      <c r="A30" s="1630" t="s">
        <v>498</v>
      </c>
      <c r="B30" s="1457"/>
      <c r="C30" s="1457"/>
      <c r="D30" s="1457"/>
      <c r="E30" s="1457"/>
      <c r="F30" s="1457"/>
      <c r="G30" s="1458"/>
      <c r="H30" s="1659" t="s">
        <v>342</v>
      </c>
      <c r="J30" s="354" t="s">
        <v>9</v>
      </c>
      <c r="K30" s="354">
        <v>0</v>
      </c>
      <c r="L30" s="354"/>
      <c r="M30" s="354"/>
      <c r="N30" s="354"/>
      <c r="O30" s="354"/>
    </row>
    <row r="31" spans="1:15" ht="18.75" customHeight="1" x14ac:dyDescent="0.25">
      <c r="A31" s="70"/>
      <c r="B31" s="112" t="s">
        <v>490</v>
      </c>
      <c r="C31" s="1660" t="s">
        <v>487</v>
      </c>
      <c r="D31" s="1661"/>
      <c r="E31" s="1457"/>
      <c r="F31" s="1458"/>
      <c r="G31" s="285" t="s">
        <v>482</v>
      </c>
      <c r="H31" s="1396"/>
      <c r="I31" s="248"/>
      <c r="J31" s="354" t="s">
        <v>10</v>
      </c>
      <c r="K31" s="354">
        <v>10</v>
      </c>
    </row>
    <row r="32" spans="1:15" ht="21" customHeight="1" x14ac:dyDescent="0.25">
      <c r="A32" s="70" t="s">
        <v>35</v>
      </c>
      <c r="B32" s="295">
        <v>80</v>
      </c>
      <c r="C32" s="1669">
        <f>IF(OR(B32&lt;1,B32&gt;100),"Zahl 0 bis 100 eingeben",(-0.0025*B32*B32+0.75*B32-26)*0.7)</f>
        <v>12.6</v>
      </c>
      <c r="D32" s="1332"/>
      <c r="E32" s="1669">
        <f>IF(OR(G32&lt;1,G32&gt;100),"Zahl 0 bis 100 eingeben",(-0.0025*G32*G32+0.75*G32-26)*0.7)</f>
        <v>9.9749999999999996</v>
      </c>
      <c r="F32" s="1332"/>
      <c r="G32" s="333">
        <v>70</v>
      </c>
      <c r="H32" s="250" t="s">
        <v>163</v>
      </c>
      <c r="I32" s="15"/>
      <c r="J32" s="354" t="s">
        <v>31</v>
      </c>
      <c r="K32" s="354">
        <v>0</v>
      </c>
    </row>
    <row r="33" spans="1:12" x14ac:dyDescent="0.25">
      <c r="A33" s="70" t="s">
        <v>162</v>
      </c>
      <c r="B33" s="295">
        <v>200</v>
      </c>
      <c r="C33" s="1670">
        <f>IF(OR(B33&lt;40,B33&gt;800),"gibt es nicht",(B33*0.025-1))</f>
        <v>4</v>
      </c>
      <c r="D33" s="1337"/>
      <c r="E33" s="1670">
        <f>IF(OR(G33&lt;40,G33&gt;800),"gibt es nicht",(G33*0.025-1))</f>
        <v>4</v>
      </c>
      <c r="F33" s="1337"/>
      <c r="G33" s="334">
        <v>200</v>
      </c>
      <c r="H33" s="225" t="s">
        <v>164</v>
      </c>
      <c r="I33" s="15"/>
    </row>
    <row r="34" spans="1:12" x14ac:dyDescent="0.25">
      <c r="A34" s="70" t="s">
        <v>51</v>
      </c>
      <c r="B34" s="292" t="s">
        <v>31</v>
      </c>
      <c r="C34" s="1671">
        <f>VLOOKUP(B34,M22:N28,2,FALSE)</f>
        <v>0</v>
      </c>
      <c r="D34" s="1337"/>
      <c r="E34" s="1671">
        <f>VLOOKUP(G34,M22:N28,2,FALSE)</f>
        <v>0</v>
      </c>
      <c r="F34" s="1337"/>
      <c r="G34" s="318" t="s">
        <v>31</v>
      </c>
      <c r="H34" s="253" t="s">
        <v>50</v>
      </c>
      <c r="I34" s="57"/>
    </row>
    <row r="35" spans="1:12" x14ac:dyDescent="0.25">
      <c r="A35" s="70" t="s">
        <v>46</v>
      </c>
      <c r="B35" s="361">
        <v>0</v>
      </c>
      <c r="C35" s="1675">
        <f>B35*10*C34*1.5</f>
        <v>0</v>
      </c>
      <c r="D35" s="1337"/>
      <c r="E35" s="1675">
        <f>G35*10*E34*1.5</f>
        <v>0</v>
      </c>
      <c r="F35" s="1337"/>
      <c r="G35" s="363">
        <v>0</v>
      </c>
      <c r="H35" s="225" t="s">
        <v>163</v>
      </c>
      <c r="I35" s="15"/>
    </row>
    <row r="36" spans="1:12" ht="15.75" x14ac:dyDescent="0.25">
      <c r="A36" s="73" t="s">
        <v>47</v>
      </c>
      <c r="B36" s="224" t="str">
        <f>IF(B35&gt;3,"Sind Sie sicher?"," ")</f>
        <v xml:space="preserve"> </v>
      </c>
      <c r="C36" s="1391"/>
      <c r="D36" s="1342"/>
      <c r="E36" s="1391"/>
      <c r="F36" s="1342"/>
      <c r="G36" s="364" t="str">
        <f>IF(G35&gt;3,"Sind Sie sicher?"," ")</f>
        <v xml:space="preserve"> </v>
      </c>
      <c r="H36" s="225"/>
      <c r="I36"/>
    </row>
    <row r="37" spans="1:12" ht="16.5" thickBot="1" x14ac:dyDescent="0.3">
      <c r="A37" s="70"/>
      <c r="B37" s="18" t="s">
        <v>438</v>
      </c>
      <c r="C37" s="1676">
        <f>(-0.00009*C8*C8+0.2115*C8+72.9)</f>
        <v>176.85</v>
      </c>
      <c r="D37" s="1623"/>
      <c r="E37" s="1677">
        <f>(-0.00009*E8*E8+0.2115*E8+72.9)</f>
        <v>180.9</v>
      </c>
      <c r="F37" s="1337"/>
      <c r="G37" s="225"/>
      <c r="H37" s="255"/>
      <c r="I37"/>
    </row>
    <row r="38" spans="1:12" ht="16.5" thickBot="1" x14ac:dyDescent="0.3">
      <c r="A38" s="256"/>
      <c r="B38" s="141" t="s">
        <v>52</v>
      </c>
      <c r="C38" s="1664">
        <f>C37-C11-C12-C13-C15*1.5-C16*1.5-C17*0.8-C32+C33-C35*1.5</f>
        <v>63.249999999999993</v>
      </c>
      <c r="D38" s="1665"/>
      <c r="E38" s="1664">
        <f>E37-E11-E12-E13-E15*1.5-E16*1.5-E17*0.85-E32+E33-E35*1.5</f>
        <v>99.925000000000011</v>
      </c>
      <c r="F38" s="1665"/>
      <c r="G38" s="257" t="s">
        <v>4</v>
      </c>
      <c r="H38" s="46"/>
      <c r="I38" s="249"/>
    </row>
    <row r="39" spans="1:12" ht="18.75" x14ac:dyDescent="0.25">
      <c r="A39" s="204"/>
      <c r="B39" s="182"/>
      <c r="C39" s="1672" t="s">
        <v>133</v>
      </c>
      <c r="D39" s="1673"/>
      <c r="E39" s="1341"/>
      <c r="F39" s="1342"/>
      <c r="G39" s="258"/>
      <c r="H39" s="712"/>
      <c r="I39" s="38"/>
    </row>
    <row r="40" spans="1:12" ht="9.75" customHeight="1" x14ac:dyDescent="0.25">
      <c r="A40" s="204"/>
      <c r="B40" s="263"/>
      <c r="C40" s="80"/>
      <c r="D40" s="80"/>
      <c r="E40" s="80"/>
      <c r="F40" s="80"/>
      <c r="G40" s="15"/>
      <c r="H40" s="80"/>
    </row>
    <row r="41" spans="1:12" ht="19.5" customHeight="1" x14ac:dyDescent="0.25">
      <c r="A41" s="302"/>
      <c r="B41" s="285" t="s">
        <v>490</v>
      </c>
      <c r="C41" s="1453" t="s">
        <v>729</v>
      </c>
      <c r="D41" s="1674"/>
      <c r="E41" s="1457"/>
      <c r="F41" s="1458"/>
      <c r="G41" s="285" t="s">
        <v>482</v>
      </c>
      <c r="H41" s="259"/>
      <c r="J41" s="519" t="s">
        <v>183</v>
      </c>
      <c r="K41" s="122" t="s">
        <v>186</v>
      </c>
      <c r="L41" s="1597"/>
    </row>
    <row r="42" spans="1:12" ht="19.5" customHeight="1" x14ac:dyDescent="0.25">
      <c r="A42" s="127"/>
      <c r="B42" s="141" t="s">
        <v>42</v>
      </c>
      <c r="C42" s="1679">
        <f>C19</f>
        <v>90</v>
      </c>
      <c r="D42" s="1680"/>
      <c r="E42" s="1681">
        <f>E19</f>
        <v>115</v>
      </c>
      <c r="F42" s="1342"/>
      <c r="G42" s="261" t="s">
        <v>4</v>
      </c>
      <c r="H42" s="80"/>
      <c r="J42" s="60" t="s">
        <v>179</v>
      </c>
      <c r="K42" s="60">
        <v>90</v>
      </c>
      <c r="L42" s="1678"/>
    </row>
    <row r="43" spans="1:12" ht="19.5" customHeight="1" x14ac:dyDescent="0.25">
      <c r="A43" s="1602" t="s">
        <v>711</v>
      </c>
      <c r="B43" s="615" t="s">
        <v>710</v>
      </c>
      <c r="C43" s="1682">
        <v>0</v>
      </c>
      <c r="D43" s="1647"/>
      <c r="E43" s="1682">
        <v>0</v>
      </c>
      <c r="F43" s="1647"/>
      <c r="G43" s="1602" t="s">
        <v>711</v>
      </c>
      <c r="H43" s="618" t="s">
        <v>491</v>
      </c>
      <c r="I43" s="23"/>
      <c r="J43" s="60" t="s">
        <v>814</v>
      </c>
      <c r="K43" s="60">
        <v>70</v>
      </c>
      <c r="L43" s="611"/>
    </row>
    <row r="44" spans="1:12" ht="19.5" customHeight="1" x14ac:dyDescent="0.25">
      <c r="A44" s="1603"/>
      <c r="B44" s="616" t="s">
        <v>713</v>
      </c>
      <c r="C44" s="1683">
        <v>0</v>
      </c>
      <c r="D44" s="1684"/>
      <c r="E44" s="1683">
        <v>0</v>
      </c>
      <c r="F44" s="1684"/>
      <c r="G44" s="1603"/>
      <c r="H44" s="309" t="s">
        <v>492</v>
      </c>
      <c r="J44" s="60" t="s">
        <v>819</v>
      </c>
      <c r="K44" s="519">
        <v>70</v>
      </c>
      <c r="L44" s="611"/>
    </row>
    <row r="45" spans="1:12" ht="19.5" customHeight="1" x14ac:dyDescent="0.25">
      <c r="A45" s="664" t="s">
        <v>827</v>
      </c>
      <c r="B45" s="246" t="s">
        <v>714</v>
      </c>
      <c r="C45" s="1683">
        <v>0</v>
      </c>
      <c r="D45" s="1684"/>
      <c r="E45" s="1683">
        <v>0</v>
      </c>
      <c r="F45" s="1684"/>
      <c r="G45" s="664" t="s">
        <v>827</v>
      </c>
      <c r="H45" s="309" t="s">
        <v>260</v>
      </c>
      <c r="I45" s="112"/>
      <c r="J45" s="519" t="s">
        <v>820</v>
      </c>
      <c r="K45" s="519">
        <v>60</v>
      </c>
      <c r="L45" s="611"/>
    </row>
    <row r="46" spans="1:12" ht="19.5" customHeight="1" x14ac:dyDescent="0.25">
      <c r="A46" s="1602" t="s">
        <v>712</v>
      </c>
      <c r="B46" s="615" t="s">
        <v>715</v>
      </c>
      <c r="C46" s="1682">
        <v>0</v>
      </c>
      <c r="D46" s="1647"/>
      <c r="E46" s="1682">
        <v>0</v>
      </c>
      <c r="F46" s="1647"/>
      <c r="G46" s="1602" t="s">
        <v>712</v>
      </c>
      <c r="H46" s="618" t="s">
        <v>491</v>
      </c>
      <c r="I46" s="80"/>
      <c r="J46" s="60" t="s">
        <v>48</v>
      </c>
      <c r="K46" s="519">
        <v>60</v>
      </c>
      <c r="L46" s="611"/>
    </row>
    <row r="47" spans="1:12" ht="19.5" customHeight="1" x14ac:dyDescent="0.25">
      <c r="A47" s="1603"/>
      <c r="B47" s="616" t="s">
        <v>716</v>
      </c>
      <c r="C47" s="1683">
        <v>0</v>
      </c>
      <c r="D47" s="1684"/>
      <c r="E47" s="1683">
        <v>0</v>
      </c>
      <c r="F47" s="1684"/>
      <c r="G47" s="1603"/>
      <c r="H47" s="309" t="s">
        <v>492</v>
      </c>
      <c r="I47" s="15"/>
      <c r="J47" s="60" t="s">
        <v>821</v>
      </c>
      <c r="K47" s="60">
        <v>45</v>
      </c>
      <c r="L47" s="611"/>
    </row>
    <row r="48" spans="1:12" ht="19.5" customHeight="1" x14ac:dyDescent="0.25">
      <c r="A48" s="664" t="s">
        <v>827</v>
      </c>
      <c r="B48" s="246" t="s">
        <v>717</v>
      </c>
      <c r="C48" s="1683">
        <v>0</v>
      </c>
      <c r="D48" s="1684"/>
      <c r="E48" s="1683">
        <v>0</v>
      </c>
      <c r="F48" s="1684"/>
      <c r="G48" s="664" t="s">
        <v>827</v>
      </c>
      <c r="H48" s="309" t="s">
        <v>260</v>
      </c>
      <c r="I48" s="15"/>
      <c r="J48" s="519" t="s">
        <v>816</v>
      </c>
      <c r="K48" s="519">
        <v>30</v>
      </c>
      <c r="L48" s="611"/>
    </row>
    <row r="49" spans="1:12" ht="19.5" customHeight="1" x14ac:dyDescent="0.25">
      <c r="A49" s="70"/>
      <c r="B49" s="112" t="s">
        <v>261</v>
      </c>
      <c r="C49" s="1686">
        <f>(C43*C44*C45/100)+(C46*C47*C48/100)</f>
        <v>0</v>
      </c>
      <c r="D49" s="1680"/>
      <c r="E49" s="1686">
        <f>(E43*E44*E45/100)+(E46*E47*E48/100)</f>
        <v>0</v>
      </c>
      <c r="F49" s="1680"/>
      <c r="G49" s="137"/>
      <c r="H49" s="310" t="s">
        <v>4</v>
      </c>
      <c r="I49" s="15"/>
      <c r="J49" s="60" t="s">
        <v>1034</v>
      </c>
      <c r="K49" s="519">
        <v>30</v>
      </c>
      <c r="L49" s="611"/>
    </row>
    <row r="50" spans="1:12" ht="19.5" customHeight="1" x14ac:dyDescent="0.25">
      <c r="A50" s="306"/>
      <c r="B50" s="307" t="s">
        <v>136</v>
      </c>
      <c r="C50" s="1686">
        <f>C42-C49</f>
        <v>90</v>
      </c>
      <c r="D50" s="1680"/>
      <c r="E50" s="1686">
        <f>E42-E49</f>
        <v>115</v>
      </c>
      <c r="F50" s="1680"/>
      <c r="G50" s="136"/>
      <c r="H50" s="311" t="s">
        <v>4</v>
      </c>
      <c r="I50" s="15"/>
      <c r="J50" s="60" t="s">
        <v>187</v>
      </c>
      <c r="K50" s="519">
        <v>30</v>
      </c>
      <c r="L50" s="611"/>
    </row>
    <row r="51" spans="1:12" ht="19.5" customHeight="1" x14ac:dyDescent="0.25">
      <c r="A51" s="112"/>
      <c r="B51" s="120"/>
      <c r="C51" s="83"/>
      <c r="D51" s="80"/>
      <c r="E51" s="83"/>
      <c r="F51" s="80"/>
      <c r="G51" s="621"/>
      <c r="H51" s="15"/>
      <c r="I51" s="15"/>
      <c r="J51" s="60" t="s">
        <v>823</v>
      </c>
      <c r="K51" s="519">
        <v>30</v>
      </c>
      <c r="L51" s="611"/>
    </row>
    <row r="52" spans="1:12" ht="19.5" customHeight="1" x14ac:dyDescent="0.25">
      <c r="A52" s="41"/>
      <c r="B52" s="112"/>
      <c r="C52" s="80"/>
      <c r="D52" s="80"/>
      <c r="E52" s="80"/>
      <c r="F52" s="80"/>
      <c r="G52" s="15"/>
      <c r="H52" s="15"/>
      <c r="I52" s="15"/>
      <c r="J52" s="60" t="s">
        <v>824</v>
      </c>
      <c r="K52" s="519">
        <v>30</v>
      </c>
      <c r="L52" s="611"/>
    </row>
    <row r="53" spans="1:12" ht="19.5" customHeight="1" x14ac:dyDescent="0.25">
      <c r="A53" s="262"/>
      <c r="B53" s="285" t="s">
        <v>490</v>
      </c>
      <c r="C53" s="1453" t="s">
        <v>60</v>
      </c>
      <c r="D53" s="1674"/>
      <c r="E53" s="1457"/>
      <c r="F53" s="1458"/>
      <c r="G53" s="285" t="s">
        <v>482</v>
      </c>
      <c r="H53" s="15"/>
      <c r="I53" s="15"/>
      <c r="J53" s="60" t="s">
        <v>825</v>
      </c>
      <c r="K53" s="519">
        <v>30</v>
      </c>
      <c r="L53" s="611"/>
    </row>
    <row r="54" spans="1:12" ht="19.5" customHeight="1" x14ac:dyDescent="0.25">
      <c r="A54" s="70"/>
      <c r="B54" s="41" t="s">
        <v>127</v>
      </c>
      <c r="C54" s="1685">
        <v>0.15</v>
      </c>
      <c r="D54" s="1647"/>
      <c r="E54" s="1685">
        <v>0.15</v>
      </c>
      <c r="F54" s="1647"/>
      <c r="G54" s="217" t="s">
        <v>134</v>
      </c>
      <c r="H54" s="80"/>
      <c r="I54" s="15"/>
      <c r="J54" s="60" t="s">
        <v>180</v>
      </c>
      <c r="K54" s="519">
        <v>25</v>
      </c>
      <c r="L54" s="611"/>
    </row>
    <row r="55" spans="1:12" ht="19.5" customHeight="1" x14ac:dyDescent="0.25">
      <c r="A55" s="70"/>
      <c r="B55" s="41" t="s">
        <v>74</v>
      </c>
      <c r="C55" s="1687">
        <f>C8*C54</f>
        <v>105</v>
      </c>
      <c r="D55" s="1337"/>
      <c r="E55" s="1687">
        <f>E8*E54</f>
        <v>112.5</v>
      </c>
      <c r="F55" s="1337"/>
      <c r="G55" s="260" t="s">
        <v>76</v>
      </c>
      <c r="J55" s="60" t="s">
        <v>817</v>
      </c>
      <c r="K55" s="519">
        <v>25</v>
      </c>
    </row>
    <row r="56" spans="1:12" ht="19.5" customHeight="1" x14ac:dyDescent="0.25">
      <c r="A56" s="70" t="s">
        <v>68</v>
      </c>
      <c r="B56" s="41" t="s">
        <v>72</v>
      </c>
      <c r="C56" s="1688">
        <f>C38-C55</f>
        <v>-41.750000000000007</v>
      </c>
      <c r="D56" s="1337"/>
      <c r="E56" s="1688">
        <f>E38-E55</f>
        <v>-12.574999999999989</v>
      </c>
      <c r="F56" s="1337"/>
      <c r="G56" s="202" t="str">
        <f>IF(C56&gt;50,"!!!",(IF(C56&gt;40,"!!",(IF(C56&gt;30,"!"," ")))))</f>
        <v xml:space="preserve"> </v>
      </c>
      <c r="J56" s="519" t="s">
        <v>818</v>
      </c>
      <c r="K56" s="519">
        <v>25</v>
      </c>
    </row>
    <row r="57" spans="1:12" ht="19.5" customHeight="1" x14ac:dyDescent="0.25">
      <c r="A57" s="70" t="s">
        <v>67</v>
      </c>
      <c r="B57" s="41" t="s">
        <v>72</v>
      </c>
      <c r="C57" s="1688">
        <f>C19-C55</f>
        <v>-15</v>
      </c>
      <c r="D57" s="1337"/>
      <c r="E57" s="1688">
        <f>E19-E55</f>
        <v>2.5</v>
      </c>
      <c r="F57" s="1337"/>
      <c r="G57" s="202" t="str">
        <f>IF(C57&gt;50,"!!!",(IF(C57&gt;40,"!!",(IF(C57&gt;30,"!"," ")))))</f>
        <v xml:space="preserve"> </v>
      </c>
      <c r="J57" s="519" t="s">
        <v>826</v>
      </c>
      <c r="K57" s="519">
        <v>10</v>
      </c>
    </row>
    <row r="58" spans="1:12" ht="19.5" customHeight="1" x14ac:dyDescent="0.25">
      <c r="A58" s="184" t="s">
        <v>739</v>
      </c>
      <c r="B58" s="182"/>
      <c r="C58" s="1391"/>
      <c r="D58" s="1342"/>
      <c r="E58" s="1391"/>
      <c r="F58" s="1342"/>
      <c r="G58" s="205"/>
      <c r="J58" s="519" t="s">
        <v>181</v>
      </c>
      <c r="K58" s="519">
        <v>10</v>
      </c>
    </row>
    <row r="59" spans="1:12" ht="19.5" customHeight="1" x14ac:dyDescent="0.25">
      <c r="A59" s="81"/>
      <c r="B59" s="112"/>
      <c r="C59" s="80"/>
      <c r="D59" s="80"/>
      <c r="E59" s="80"/>
      <c r="F59" s="80"/>
      <c r="G59" s="15"/>
      <c r="J59" s="519" t="s">
        <v>188</v>
      </c>
      <c r="K59" s="519">
        <v>5</v>
      </c>
    </row>
    <row r="60" spans="1:12" ht="19.5" customHeight="1" x14ac:dyDescent="0.25">
      <c r="A60" s="81"/>
      <c r="B60" s="112"/>
      <c r="C60" s="80"/>
      <c r="D60" s="80"/>
      <c r="E60" s="80"/>
      <c r="F60" s="80"/>
      <c r="G60" s="15"/>
      <c r="J60" s="519" t="s">
        <v>182</v>
      </c>
      <c r="K60" s="519">
        <v>3</v>
      </c>
    </row>
    <row r="61" spans="1:12" ht="36.75" customHeight="1" x14ac:dyDescent="0.25">
      <c r="A61" s="91" t="s">
        <v>167</v>
      </c>
      <c r="B61" s="1596" t="s">
        <v>511</v>
      </c>
      <c r="C61" s="1267"/>
      <c r="D61" s="1267"/>
      <c r="E61" s="1267"/>
      <c r="F61" s="1267"/>
      <c r="G61" s="1267"/>
      <c r="H61"/>
      <c r="I61"/>
    </row>
    <row r="62" spans="1:12" ht="54.75" customHeight="1" x14ac:dyDescent="0.25">
      <c r="A62" s="18" t="s">
        <v>400</v>
      </c>
      <c r="B62" s="1596" t="s">
        <v>458</v>
      </c>
      <c r="C62" s="1267"/>
      <c r="D62" s="1267"/>
      <c r="E62" s="1267"/>
      <c r="F62" s="1267"/>
      <c r="G62" s="1267"/>
      <c r="I62"/>
      <c r="K62"/>
    </row>
    <row r="63" spans="1:12" ht="51.75" customHeight="1" x14ac:dyDescent="0.25">
      <c r="A63" s="18" t="s">
        <v>405</v>
      </c>
      <c r="B63" s="1596" t="s">
        <v>480</v>
      </c>
      <c r="C63" s="1267"/>
      <c r="D63" s="1267"/>
      <c r="E63" s="1267"/>
      <c r="F63" s="1267"/>
      <c r="G63" s="1267"/>
      <c r="K63"/>
    </row>
    <row r="64" spans="1:12" ht="42" customHeight="1" x14ac:dyDescent="0.25">
      <c r="A64" s="661" t="s">
        <v>403</v>
      </c>
      <c r="B64" s="1596" t="s">
        <v>481</v>
      </c>
      <c r="C64" s="1463"/>
      <c r="D64" s="1463"/>
      <c r="E64" s="1463"/>
      <c r="F64" s="1463"/>
      <c r="G64" s="1463"/>
      <c r="K64"/>
    </row>
    <row r="65" spans="1:11" x14ac:dyDescent="0.25">
      <c r="A65" s="8"/>
      <c r="B65"/>
      <c r="C65"/>
      <c r="D65"/>
      <c r="E65"/>
      <c r="F65"/>
      <c r="K65"/>
    </row>
    <row r="66" spans="1:11" x14ac:dyDescent="0.25">
      <c r="A66" s="8"/>
      <c r="B66"/>
      <c r="C66" s="1"/>
      <c r="D66" s="1"/>
      <c r="E66" s="1"/>
      <c r="F66" s="1"/>
      <c r="G66" s="3" t="s">
        <v>130</v>
      </c>
      <c r="K66"/>
    </row>
    <row r="67" spans="1:11" x14ac:dyDescent="0.25">
      <c r="A67" s="8"/>
      <c r="B67"/>
      <c r="C67"/>
      <c r="D67"/>
      <c r="E67"/>
      <c r="F67"/>
      <c r="G67" s="3" t="s">
        <v>131</v>
      </c>
      <c r="K67"/>
    </row>
    <row r="68" spans="1:11" x14ac:dyDescent="0.25">
      <c r="A68" s="8"/>
      <c r="B68" s="3" t="s">
        <v>128</v>
      </c>
      <c r="G68" s="3" t="s">
        <v>434</v>
      </c>
      <c r="K68"/>
    </row>
    <row r="69" spans="1:11" x14ac:dyDescent="0.25">
      <c r="A69" s="8"/>
      <c r="B69" s="3" t="s">
        <v>33</v>
      </c>
      <c r="C69" s="3" t="s">
        <v>129</v>
      </c>
      <c r="G69" s="8" t="s">
        <v>459</v>
      </c>
      <c r="H69"/>
      <c r="K69"/>
    </row>
    <row r="70" spans="1:11" x14ac:dyDescent="0.25">
      <c r="A70" s="8"/>
      <c r="B70" s="3">
        <v>450</v>
      </c>
      <c r="C70" s="3">
        <v>140</v>
      </c>
      <c r="G70" s="3">
        <f>(B70*0.17+90)*0.9</f>
        <v>149.85</v>
      </c>
      <c r="H70"/>
      <c r="I70"/>
      <c r="K70"/>
    </row>
    <row r="71" spans="1:11" x14ac:dyDescent="0.25">
      <c r="A71" s="8"/>
      <c r="B71" s="3">
        <v>550</v>
      </c>
      <c r="C71" s="3">
        <v>155</v>
      </c>
      <c r="G71" s="3">
        <f>(B71*0.16+92)*0.9</f>
        <v>162</v>
      </c>
      <c r="H71"/>
      <c r="I71"/>
      <c r="K71"/>
    </row>
    <row r="72" spans="1:11" x14ac:dyDescent="0.25">
      <c r="A72" s="8"/>
      <c r="B72" s="3">
        <v>650</v>
      </c>
      <c r="C72" s="3">
        <v>170</v>
      </c>
      <c r="G72" s="3">
        <f>(B72*0.15+94)*0.9</f>
        <v>172.35</v>
      </c>
      <c r="H72"/>
      <c r="I72"/>
      <c r="K72"/>
    </row>
    <row r="73" spans="1:11" x14ac:dyDescent="0.25">
      <c r="A73" s="8"/>
      <c r="B73" s="3">
        <v>750</v>
      </c>
      <c r="C73" s="3">
        <v>180</v>
      </c>
      <c r="G73" s="3">
        <f>(B73*0.14+96)*0.9</f>
        <v>180.9</v>
      </c>
      <c r="H73"/>
      <c r="I73"/>
      <c r="K73"/>
    </row>
    <row r="74" spans="1:11" x14ac:dyDescent="0.25">
      <c r="A74" s="8"/>
      <c r="B74" s="3">
        <v>850</v>
      </c>
      <c r="C74" s="3">
        <v>190</v>
      </c>
      <c r="G74" s="3">
        <f>(B74*0.13+98)*0.9</f>
        <v>187.65</v>
      </c>
      <c r="H74"/>
      <c r="I74"/>
      <c r="K74"/>
    </row>
    <row r="75" spans="1:11" x14ac:dyDescent="0.25">
      <c r="A75" s="8"/>
      <c r="B75" s="3">
        <v>950</v>
      </c>
      <c r="C75" s="3">
        <v>200</v>
      </c>
      <c r="G75" s="3">
        <f>(B75*0.12+100)*0.9</f>
        <v>192.6</v>
      </c>
      <c r="H75"/>
      <c r="I75"/>
      <c r="K75"/>
    </row>
    <row r="76" spans="1:11" x14ac:dyDescent="0.25">
      <c r="A76" s="8"/>
      <c r="B76"/>
      <c r="C76"/>
      <c r="D76"/>
      <c r="E76"/>
      <c r="F76"/>
      <c r="H76"/>
      <c r="I76"/>
      <c r="K76"/>
    </row>
    <row r="77" spans="1:11" x14ac:dyDescent="0.25">
      <c r="A77" s="8"/>
      <c r="B77"/>
      <c r="C77"/>
      <c r="D77"/>
      <c r="E77"/>
      <c r="F77"/>
      <c r="H77"/>
      <c r="I77"/>
      <c r="J77" s="3"/>
      <c r="K77"/>
    </row>
    <row r="78" spans="1:11" x14ac:dyDescent="0.25">
      <c r="A78" s="8"/>
      <c r="B78"/>
      <c r="C78"/>
      <c r="D78"/>
      <c r="E78"/>
      <c r="F78"/>
      <c r="H78"/>
      <c r="I78"/>
      <c r="J78" s="3"/>
      <c r="K78"/>
    </row>
    <row r="79" spans="1:11" x14ac:dyDescent="0.25">
      <c r="A79" s="8"/>
      <c r="B79"/>
      <c r="C79"/>
      <c r="D79"/>
      <c r="E79"/>
      <c r="F79"/>
      <c r="H79"/>
      <c r="I79"/>
      <c r="J79" s="3"/>
      <c r="K79"/>
    </row>
    <row r="80" spans="1:11" x14ac:dyDescent="0.25">
      <c r="A80" s="8"/>
      <c r="B80"/>
      <c r="C80"/>
      <c r="D80"/>
      <c r="E80"/>
      <c r="F80"/>
      <c r="H80"/>
      <c r="I80"/>
      <c r="J80" s="3"/>
      <c r="K80"/>
    </row>
    <row r="81" spans="1:11" x14ac:dyDescent="0.25">
      <c r="A81" s="8"/>
      <c r="B81" s="3"/>
      <c r="C81"/>
      <c r="D81"/>
      <c r="E81"/>
      <c r="F81"/>
      <c r="G81" s="3"/>
      <c r="H81"/>
      <c r="I81"/>
      <c r="J81" s="3"/>
      <c r="K81"/>
    </row>
    <row r="82" spans="1:11" x14ac:dyDescent="0.25">
      <c r="A82" s="8"/>
      <c r="B82" s="3"/>
      <c r="C82"/>
      <c r="D82"/>
      <c r="E82"/>
      <c r="F82"/>
      <c r="G82" s="3"/>
      <c r="H82"/>
      <c r="I82"/>
      <c r="J82" s="3"/>
      <c r="K82"/>
    </row>
    <row r="83" spans="1:11" x14ac:dyDescent="0.25">
      <c r="A83" s="8"/>
      <c r="B83" s="3"/>
      <c r="C83"/>
      <c r="D83"/>
      <c r="E83"/>
      <c r="F83"/>
      <c r="G83" s="3"/>
      <c r="H83"/>
      <c r="I83"/>
      <c r="J83" s="3"/>
      <c r="K83"/>
    </row>
    <row r="84" spans="1:11" x14ac:dyDescent="0.25">
      <c r="A84" s="8"/>
      <c r="B84" s="3"/>
      <c r="C84"/>
      <c r="D84"/>
      <c r="E84"/>
      <c r="F84"/>
      <c r="G84" s="3"/>
      <c r="H84"/>
      <c r="I84"/>
      <c r="J84" s="3"/>
      <c r="K84"/>
    </row>
    <row r="85" spans="1:11" x14ac:dyDescent="0.25">
      <c r="A85" s="8"/>
      <c r="B85" s="3"/>
      <c r="C85"/>
      <c r="D85"/>
      <c r="E85"/>
      <c r="F85"/>
      <c r="G85" s="3"/>
      <c r="H85"/>
      <c r="I85"/>
      <c r="J85" s="3"/>
      <c r="K85"/>
    </row>
    <row r="86" spans="1:11" x14ac:dyDescent="0.25">
      <c r="A86" s="8"/>
      <c r="B86" s="3"/>
      <c r="C86"/>
      <c r="D86"/>
      <c r="E86"/>
      <c r="F86"/>
      <c r="G86" s="3"/>
      <c r="H86"/>
      <c r="I86"/>
      <c r="J86" s="3"/>
      <c r="K86"/>
    </row>
    <row r="87" spans="1:11" x14ac:dyDescent="0.25">
      <c r="A87" s="8"/>
      <c r="B87" s="3"/>
      <c r="C87"/>
      <c r="D87"/>
      <c r="E87"/>
      <c r="F87"/>
      <c r="G87" s="3"/>
      <c r="H87"/>
      <c r="I87"/>
      <c r="J87" s="3"/>
      <c r="K87"/>
    </row>
    <row r="88" spans="1:11" x14ac:dyDescent="0.25">
      <c r="A88" s="8"/>
      <c r="B88" s="3"/>
      <c r="C88"/>
      <c r="D88"/>
      <c r="E88"/>
      <c r="F88"/>
      <c r="G88" s="3"/>
      <c r="H88"/>
      <c r="I88"/>
      <c r="J88" s="3"/>
      <c r="K88"/>
    </row>
    <row r="89" spans="1:11" x14ac:dyDescent="0.25">
      <c r="A89" s="8"/>
      <c r="B89" s="3"/>
      <c r="C89"/>
      <c r="D89"/>
      <c r="E89"/>
      <c r="F89"/>
      <c r="G89" s="3"/>
      <c r="H89"/>
      <c r="I89"/>
      <c r="J89" s="3"/>
      <c r="K89"/>
    </row>
    <row r="90" spans="1:11" x14ac:dyDescent="0.25">
      <c r="A90" s="8"/>
      <c r="B90" s="3"/>
      <c r="C90"/>
      <c r="D90"/>
      <c r="E90"/>
      <c r="F90"/>
      <c r="G90" s="3"/>
      <c r="H90"/>
      <c r="I90"/>
      <c r="J90" s="3"/>
      <c r="K90"/>
    </row>
    <row r="91" spans="1:11" x14ac:dyDescent="0.25">
      <c r="A91" s="8"/>
      <c r="B91" s="3"/>
      <c r="C91"/>
      <c r="D91"/>
      <c r="E91"/>
      <c r="F91"/>
      <c r="G91" s="3"/>
      <c r="H91"/>
      <c r="I91"/>
      <c r="J91" s="3"/>
      <c r="K91"/>
    </row>
    <row r="92" spans="1:11" x14ac:dyDescent="0.25">
      <c r="A92" s="8"/>
      <c r="B92" s="3"/>
      <c r="C92"/>
      <c r="D92"/>
      <c r="E92"/>
      <c r="F92"/>
      <c r="G92" s="3"/>
      <c r="H92"/>
      <c r="I92"/>
      <c r="J92" s="3"/>
      <c r="K92"/>
    </row>
    <row r="93" spans="1:11" x14ac:dyDescent="0.25">
      <c r="A93" s="8"/>
      <c r="B93" s="3"/>
      <c r="C93"/>
      <c r="D93"/>
      <c r="E93"/>
      <c r="F93"/>
      <c r="G93" s="3"/>
      <c r="H93"/>
      <c r="I93"/>
      <c r="J93" s="3"/>
      <c r="K93"/>
    </row>
    <row r="94" spans="1:11" x14ac:dyDescent="0.25">
      <c r="A94" s="8"/>
      <c r="B94" s="3"/>
      <c r="C94"/>
      <c r="D94"/>
      <c r="E94"/>
      <c r="F94"/>
      <c r="G94" s="3"/>
      <c r="H94"/>
      <c r="I94"/>
      <c r="J94" s="3"/>
      <c r="K94"/>
    </row>
    <row r="95" spans="1:11" x14ac:dyDescent="0.25">
      <c r="A95" s="2"/>
      <c r="B95" s="3"/>
      <c r="C95"/>
      <c r="D95"/>
      <c r="E95"/>
      <c r="F95"/>
      <c r="G95" s="3"/>
      <c r="H95"/>
      <c r="I95"/>
      <c r="J95" s="3"/>
      <c r="K95"/>
    </row>
    <row r="96" spans="1:11" x14ac:dyDescent="0.25">
      <c r="A96" s="8"/>
      <c r="B96" s="3"/>
      <c r="C96"/>
      <c r="D96"/>
      <c r="E96"/>
      <c r="F96"/>
      <c r="G96" s="3"/>
      <c r="H96"/>
      <c r="I96"/>
      <c r="J96" s="3"/>
      <c r="K96"/>
    </row>
    <row r="97" spans="1:15" x14ac:dyDescent="0.25">
      <c r="A97" s="8"/>
      <c r="B97" s="3"/>
      <c r="C97"/>
      <c r="D97"/>
      <c r="E97"/>
      <c r="F97"/>
      <c r="G97" s="3"/>
      <c r="H97"/>
      <c r="I97"/>
      <c r="J97" s="3"/>
      <c r="K97"/>
    </row>
    <row r="98" spans="1:15" x14ac:dyDescent="0.25">
      <c r="A98" s="8"/>
      <c r="B98" s="3"/>
      <c r="C98"/>
      <c r="D98"/>
      <c r="E98"/>
      <c r="F98"/>
      <c r="G98" s="3"/>
      <c r="H98"/>
      <c r="I98"/>
      <c r="J98" s="3"/>
      <c r="K98"/>
    </row>
    <row r="99" spans="1:15" x14ac:dyDescent="0.25">
      <c r="A99" s="8"/>
      <c r="B99" s="3"/>
      <c r="C99"/>
      <c r="D99"/>
      <c r="E99"/>
      <c r="F99"/>
      <c r="G99" s="3"/>
      <c r="H99"/>
      <c r="I99"/>
      <c r="J99" s="3"/>
      <c r="K99"/>
    </row>
    <row r="100" spans="1:15" x14ac:dyDescent="0.25">
      <c r="A100" s="8"/>
      <c r="B100" s="3"/>
      <c r="C100"/>
      <c r="D100"/>
      <c r="E100"/>
      <c r="F100"/>
      <c r="G100" s="3"/>
      <c r="H100"/>
      <c r="I100"/>
      <c r="J100" s="3"/>
      <c r="K100"/>
    </row>
    <row r="101" spans="1:15" x14ac:dyDescent="0.25">
      <c r="A101" s="8"/>
      <c r="B101" s="3"/>
      <c r="C101"/>
      <c r="D101"/>
      <c r="E101"/>
      <c r="F101"/>
      <c r="G101" s="3"/>
      <c r="H101"/>
      <c r="I101"/>
      <c r="J101" s="3"/>
      <c r="K101"/>
    </row>
    <row r="102" spans="1:15" x14ac:dyDescent="0.25">
      <c r="A102" s="8"/>
      <c r="B102" s="3"/>
      <c r="C102"/>
      <c r="D102"/>
      <c r="E102"/>
      <c r="F102"/>
      <c r="G102" s="3"/>
      <c r="H102"/>
      <c r="I102"/>
      <c r="J102" s="3"/>
      <c r="K102"/>
    </row>
    <row r="103" spans="1:15" x14ac:dyDescent="0.25">
      <c r="A103" s="8"/>
      <c r="B103" s="3"/>
      <c r="C103"/>
      <c r="D103"/>
      <c r="E103"/>
      <c r="F103"/>
      <c r="G103" s="3"/>
      <c r="H103"/>
      <c r="I103"/>
      <c r="J103" s="3"/>
      <c r="K103"/>
    </row>
    <row r="104" spans="1:15" x14ac:dyDescent="0.25">
      <c r="A104" s="8"/>
      <c r="B104" s="3"/>
      <c r="C104"/>
      <c r="D104"/>
      <c r="E104"/>
      <c r="F104"/>
      <c r="G104" s="3"/>
      <c r="H104"/>
      <c r="I104"/>
      <c r="J104" s="3"/>
      <c r="K104"/>
    </row>
    <row r="105" spans="1:15" x14ac:dyDescent="0.25">
      <c r="A105" s="8"/>
      <c r="B105" s="3"/>
      <c r="C105"/>
      <c r="D105"/>
      <c r="E105"/>
      <c r="F105"/>
      <c r="G105" s="3"/>
      <c r="H105"/>
      <c r="I105"/>
      <c r="J105" s="3"/>
      <c r="K105"/>
    </row>
    <row r="106" spans="1:15" x14ac:dyDescent="0.25">
      <c r="A106" s="8"/>
      <c r="B106" s="3"/>
      <c r="C106"/>
      <c r="D106"/>
      <c r="E106"/>
      <c r="F106"/>
      <c r="G106" s="3"/>
      <c r="H106"/>
      <c r="I106"/>
      <c r="J106" s="3"/>
      <c r="K106"/>
    </row>
    <row r="107" spans="1:15" x14ac:dyDescent="0.25">
      <c r="A107" s="8"/>
      <c r="B107" s="3"/>
      <c r="C107"/>
      <c r="D107"/>
      <c r="E107"/>
      <c r="F107"/>
      <c r="G107" s="3"/>
      <c r="H107"/>
      <c r="I107"/>
      <c r="J107" s="3"/>
      <c r="K107"/>
    </row>
    <row r="108" spans="1:15" x14ac:dyDescent="0.25">
      <c r="A108" s="8"/>
      <c r="B108" s="3"/>
      <c r="C108"/>
      <c r="D108"/>
      <c r="E108"/>
      <c r="F108"/>
      <c r="G108" s="3"/>
      <c r="I108"/>
      <c r="J108" s="3"/>
      <c r="K108"/>
    </row>
    <row r="109" spans="1:15" x14ac:dyDescent="0.25">
      <c r="A109" s="8"/>
      <c r="B109" s="3"/>
      <c r="C109"/>
      <c r="D109"/>
      <c r="E109"/>
      <c r="F109"/>
      <c r="G109" s="3"/>
      <c r="J109" s="3"/>
      <c r="K109"/>
    </row>
    <row r="110" spans="1:15" x14ac:dyDescent="0.25">
      <c r="A110" s="8"/>
      <c r="B110" s="3"/>
      <c r="C110"/>
      <c r="D110"/>
      <c r="E110"/>
      <c r="F110"/>
      <c r="G110" s="3"/>
    </row>
    <row r="111" spans="1:15" s="3" customFormat="1" x14ac:dyDescent="0.25">
      <c r="A111" s="8"/>
      <c r="C111"/>
      <c r="D111"/>
      <c r="E111"/>
      <c r="F111"/>
      <c r="J111"/>
      <c r="L111"/>
      <c r="M111"/>
      <c r="N111"/>
      <c r="O111"/>
    </row>
    <row r="112" spans="1:15" s="3" customFormat="1" x14ac:dyDescent="0.25">
      <c r="A112" s="8"/>
      <c r="C112"/>
      <c r="D112"/>
      <c r="E112"/>
      <c r="F112"/>
      <c r="J112"/>
      <c r="L112"/>
      <c r="M112"/>
      <c r="N112"/>
      <c r="O112"/>
    </row>
    <row r="113" spans="1:15" s="3" customFormat="1" x14ac:dyDescent="0.25">
      <c r="A113" s="8"/>
      <c r="C113"/>
      <c r="D113"/>
      <c r="E113"/>
      <c r="F113"/>
      <c r="J113"/>
      <c r="L113"/>
      <c r="M113"/>
      <c r="N113"/>
      <c r="O113"/>
    </row>
  </sheetData>
  <sheetProtection sheet="1" formatCells="0" formatColumns="0" formatRows="0" selectLockedCells="1"/>
  <mergeCells count="93">
    <mergeCell ref="B64:G64"/>
    <mergeCell ref="C58:D58"/>
    <mergeCell ref="E58:F58"/>
    <mergeCell ref="B61:G61"/>
    <mergeCell ref="B62:G62"/>
    <mergeCell ref="B63:G63"/>
    <mergeCell ref="C55:D55"/>
    <mergeCell ref="E55:F55"/>
    <mergeCell ref="C56:D56"/>
    <mergeCell ref="E56:F56"/>
    <mergeCell ref="C57:D57"/>
    <mergeCell ref="E57:F57"/>
    <mergeCell ref="C54:D54"/>
    <mergeCell ref="E54:F54"/>
    <mergeCell ref="C48:D48"/>
    <mergeCell ref="E48:F48"/>
    <mergeCell ref="A46:A47"/>
    <mergeCell ref="C46:D46"/>
    <mergeCell ref="E46:F46"/>
    <mergeCell ref="C49:D49"/>
    <mergeCell ref="E49:F49"/>
    <mergeCell ref="C50:D50"/>
    <mergeCell ref="E50:F50"/>
    <mergeCell ref="C53:F53"/>
    <mergeCell ref="G46:G47"/>
    <mergeCell ref="C47:D47"/>
    <mergeCell ref="E47:F47"/>
    <mergeCell ref="C45:D45"/>
    <mergeCell ref="E45:F45"/>
    <mergeCell ref="L41:L42"/>
    <mergeCell ref="C42:D42"/>
    <mergeCell ref="E42:F42"/>
    <mergeCell ref="A43:A44"/>
    <mergeCell ref="C43:D43"/>
    <mergeCell ref="E43:F43"/>
    <mergeCell ref="G43:G44"/>
    <mergeCell ref="C44:D44"/>
    <mergeCell ref="E44:F44"/>
    <mergeCell ref="C38:D38"/>
    <mergeCell ref="E38:F38"/>
    <mergeCell ref="C39:F39"/>
    <mergeCell ref="C41:F41"/>
    <mergeCell ref="C35:D35"/>
    <mergeCell ref="E35:F35"/>
    <mergeCell ref="C36:D36"/>
    <mergeCell ref="E36:F36"/>
    <mergeCell ref="C37:D37"/>
    <mergeCell ref="E37:F37"/>
    <mergeCell ref="C32:D32"/>
    <mergeCell ref="E32:F32"/>
    <mergeCell ref="C33:D33"/>
    <mergeCell ref="E33:F33"/>
    <mergeCell ref="C34:D34"/>
    <mergeCell ref="E34:F34"/>
    <mergeCell ref="A22:A26"/>
    <mergeCell ref="A27:A28"/>
    <mergeCell ref="B27:B28"/>
    <mergeCell ref="C27:F28"/>
    <mergeCell ref="A30:G30"/>
    <mergeCell ref="H30:H31"/>
    <mergeCell ref="C31:F31"/>
    <mergeCell ref="C18:D18"/>
    <mergeCell ref="E18:F18"/>
    <mergeCell ref="C19:D19"/>
    <mergeCell ref="E19:F19"/>
    <mergeCell ref="A21:B21"/>
    <mergeCell ref="C21:D21"/>
    <mergeCell ref="E21:F21"/>
    <mergeCell ref="C15:D15"/>
    <mergeCell ref="E15:F15"/>
    <mergeCell ref="C16:D16"/>
    <mergeCell ref="E16:F16"/>
    <mergeCell ref="C17:D17"/>
    <mergeCell ref="E17:F17"/>
    <mergeCell ref="C12:D12"/>
    <mergeCell ref="E12:F12"/>
    <mergeCell ref="C13:D13"/>
    <mergeCell ref="E13:F13"/>
    <mergeCell ref="C14:D14"/>
    <mergeCell ref="E14:F14"/>
    <mergeCell ref="C9:D9"/>
    <mergeCell ref="E9:F9"/>
    <mergeCell ref="C10:D10"/>
    <mergeCell ref="E10:F10"/>
    <mergeCell ref="C11:D11"/>
    <mergeCell ref="E11:F11"/>
    <mergeCell ref="C8:D8"/>
    <mergeCell ref="E8:F8"/>
    <mergeCell ref="A5:G5"/>
    <mergeCell ref="A6:B6"/>
    <mergeCell ref="C6:F6"/>
    <mergeCell ref="C7:D7"/>
    <mergeCell ref="E7:F7"/>
  </mergeCells>
  <dataValidations count="7">
    <dataValidation type="list" allowBlank="1" sqref="G15 B15" xr:uid="{00000000-0002-0000-1900-000000000000}">
      <formula1>$J$22:$J$32</formula1>
    </dataValidation>
    <dataValidation type="list" allowBlank="1" showInputMessage="1" showErrorMessage="1" sqref="G34" xr:uid="{00000000-0002-0000-1900-000001000000}">
      <formula1>M22:M28</formula1>
    </dataValidation>
    <dataValidation type="list" allowBlank="1" showInputMessage="1" showErrorMessage="1" sqref="B34" xr:uid="{00000000-0002-0000-1900-000002000000}">
      <formula1>M22:M28</formula1>
    </dataValidation>
    <dataValidation type="list" allowBlank="1" showInputMessage="1" showErrorMessage="1" sqref="C54 E54" xr:uid="{00000000-0002-0000-1900-000003000000}">
      <mc:AlternateContent xmlns:x12ac="http://schemas.microsoft.com/office/spreadsheetml/2011/1/ac" xmlns:mc="http://schemas.openxmlformats.org/markup-compatibility/2006">
        <mc:Choice Requires="x12ac">
          <x12ac:list>"0,11","0,12","0,13","0,14","0,15","0,16","0,17","0,18"</x12ac:list>
        </mc:Choice>
        <mc:Fallback>
          <formula1>"0,11,0,12,0,13,0,14,0,15,0,16,0,17,0,18"</formula1>
        </mc:Fallback>
      </mc:AlternateContent>
    </dataValidation>
    <dataValidation type="list" allowBlank="1" sqref="B18 G18" xr:uid="{00000000-0002-0000-1900-000004000000}">
      <formula1>"bis 4 %, größer 4 %"</formula1>
    </dataValidation>
    <dataValidation type="list" allowBlank="1" sqref="L8:L9" xr:uid="{00000000-0002-0000-1900-000005000000}">
      <formula1>"Humusgehalt"</formula1>
    </dataValidation>
    <dataValidation type="list" allowBlank="1" sqref="B16 G16" xr:uid="{00000000-0002-0000-1900-000006000000}">
      <formula1>Vorfrucht</formula1>
    </dataValidation>
  </dataValidations>
  <pageMargins left="0.7" right="0.7" top="0.78740157499999996" bottom="0.78740157499999996" header="0.3" footer="0.3"/>
  <pageSetup paperSize="9" scale="50" orientation="landscape" horizontalDpi="4294967293" verticalDpi="4294967293" r:id="rId1"/>
  <rowBreaks count="1" manualBreakCount="1">
    <brk id="60" max="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EE5D7-CCA9-432A-A12F-F87242469E26}">
  <sheetPr>
    <tabColor theme="6"/>
  </sheetPr>
  <dimension ref="A1:CG111"/>
  <sheetViews>
    <sheetView zoomScale="90" zoomScaleNormal="90" workbookViewId="0">
      <selection activeCell="B8" sqref="B8"/>
    </sheetView>
  </sheetViews>
  <sheetFormatPr baseColWidth="10" defaultRowHeight="15.75" x14ac:dyDescent="0.25"/>
  <cols>
    <col min="1" max="1" width="20.42578125" style="112" customWidth="1"/>
    <col min="2" max="2" width="8.7109375" style="80" customWidth="1"/>
    <col min="3" max="3" width="22.140625" style="80" customWidth="1"/>
    <col min="4" max="4" width="6.85546875" style="112" customWidth="1"/>
    <col min="5" max="6" width="8.5703125" style="80" customWidth="1"/>
    <col min="7" max="7" width="11.140625" style="80" customWidth="1"/>
    <col min="8" max="8" width="16.28515625" style="80" customWidth="1"/>
    <col min="9" max="9" width="5.42578125" style="80" customWidth="1"/>
    <col min="10" max="10" width="16.7109375" style="80" customWidth="1"/>
    <col min="11" max="11" width="4.28515625" style="80" customWidth="1"/>
    <col min="12" max="12" width="6.85546875" style="80" customWidth="1"/>
    <col min="13" max="13" width="8" style="80" customWidth="1"/>
    <col min="14" max="14" width="9.140625" style="80" customWidth="1"/>
    <col min="15" max="15" width="4" style="80" customWidth="1"/>
    <col min="16" max="16" width="12" style="80" customWidth="1"/>
    <col min="17" max="17" width="8.85546875" style="112" customWidth="1"/>
    <col min="18" max="18" width="12.85546875" style="241" customWidth="1"/>
    <col min="19" max="19" width="8.85546875" style="241" customWidth="1"/>
    <col min="20" max="20" width="9.140625" style="80" customWidth="1"/>
    <col min="21" max="21" width="1.85546875" style="80" customWidth="1"/>
    <col min="22" max="22" width="14.7109375" style="80" customWidth="1"/>
    <col min="23" max="23" width="11.42578125" style="80" customWidth="1"/>
    <col min="24" max="24" width="10.7109375" style="80" customWidth="1"/>
    <col min="25" max="25" width="12.140625" style="80" customWidth="1"/>
    <col min="26" max="26" width="5.85546875" style="80" customWidth="1"/>
    <col min="27" max="27" width="7.140625" style="80" customWidth="1"/>
    <col min="28" max="29" width="6.28515625" style="80" customWidth="1"/>
    <col min="30" max="30" width="1.28515625" style="80" customWidth="1"/>
    <col min="31" max="31" width="10" style="80" customWidth="1"/>
    <col min="32" max="32" width="12.28515625" style="80" customWidth="1"/>
    <col min="33" max="33" width="6.5703125" style="80" customWidth="1"/>
    <col min="34" max="36" width="6.85546875" style="80" customWidth="1"/>
    <col min="37" max="37" width="1.28515625" style="80" customWidth="1"/>
    <col min="38" max="38" width="10.140625" style="80" customWidth="1"/>
    <col min="39" max="39" width="12.42578125" style="80" customWidth="1"/>
    <col min="40" max="40" width="6.5703125" style="80" customWidth="1"/>
    <col min="41" max="43" width="6.140625" style="80" customWidth="1"/>
    <col min="44" max="44" width="1" style="80" customWidth="1"/>
    <col min="45" max="46" width="2.85546875" style="80" customWidth="1"/>
    <col min="47" max="47" width="3.42578125" style="80" customWidth="1"/>
    <col min="48" max="53" width="2.85546875" style="80" customWidth="1"/>
    <col min="54" max="54" width="3.85546875" style="80" customWidth="1"/>
    <col min="55" max="57" width="2.85546875" style="80" customWidth="1"/>
    <col min="58" max="58" width="1.5703125" style="80" customWidth="1"/>
    <col min="59" max="59" width="7.28515625" style="80" customWidth="1"/>
    <col min="60" max="60" width="7.42578125" style="80" customWidth="1"/>
    <col min="61" max="61" width="7.28515625" style="80" customWidth="1"/>
    <col min="62" max="62" width="7.7109375" style="80" customWidth="1"/>
    <col min="63" max="63" width="7.42578125" style="80" customWidth="1"/>
    <col min="64" max="64" width="2" style="80" customWidth="1"/>
    <col min="65" max="65" width="7.5703125" style="80" customWidth="1"/>
    <col min="66" max="66" width="7.42578125" style="80" customWidth="1"/>
    <col min="67" max="67" width="5.7109375" style="80" customWidth="1"/>
    <col min="68" max="68" width="7.5703125" style="80" customWidth="1"/>
    <col min="69" max="70" width="5.5703125" style="80" customWidth="1"/>
    <col min="71" max="71" width="12.85546875" style="80" customWidth="1"/>
    <col min="72" max="73" width="5.42578125" style="390" customWidth="1"/>
    <col min="74" max="74" width="13.5703125" style="80" customWidth="1"/>
    <col min="75" max="75" width="48.85546875" style="80" customWidth="1"/>
    <col min="76" max="76" width="7" style="124" customWidth="1"/>
    <col min="77" max="77" width="16" style="124" customWidth="1"/>
    <col min="78" max="78" width="11.42578125" style="124"/>
    <col min="79" max="79" width="13" style="124" customWidth="1"/>
    <col min="80" max="80" width="29.85546875" style="641" customWidth="1"/>
    <col min="81" max="81" width="24.85546875" style="393" customWidth="1"/>
    <col min="82" max="82" width="11.42578125" style="352"/>
    <col min="83" max="16384" width="11.42578125" style="80"/>
  </cols>
  <sheetData>
    <row r="1" spans="1:85" ht="17.25" customHeight="1" thickBot="1" x14ac:dyDescent="0.3">
      <c r="A1" s="269"/>
      <c r="B1" s="270" t="s">
        <v>234</v>
      </c>
      <c r="C1" s="1350" t="str">
        <f>'DüV-N-Ackerbau (1)'!C1</f>
        <v>Testbetrieb</v>
      </c>
      <c r="D1" s="1351"/>
      <c r="E1" s="448"/>
      <c r="F1" s="485" t="s">
        <v>235</v>
      </c>
      <c r="G1" s="372">
        <v>2022</v>
      </c>
      <c r="H1" s="448"/>
      <c r="I1" s="1352" t="s">
        <v>34</v>
      </c>
      <c r="J1" s="1353"/>
      <c r="K1" s="448"/>
      <c r="L1" s="1291" t="s">
        <v>1075</v>
      </c>
      <c r="M1" s="1292"/>
      <c r="N1" s="1292"/>
      <c r="O1" s="1292"/>
      <c r="P1" s="1292"/>
      <c r="Q1" s="448"/>
      <c r="R1" s="477"/>
      <c r="S1" s="477"/>
      <c r="T1" s="448"/>
      <c r="BH1" s="400"/>
      <c r="BI1" s="400"/>
      <c r="BJ1" s="400"/>
      <c r="BK1" s="400"/>
      <c r="BL1" s="400"/>
      <c r="BM1" s="400"/>
      <c r="BN1" s="400"/>
      <c r="BO1" s="400"/>
      <c r="BP1" s="400"/>
      <c r="BQ1" s="400"/>
      <c r="BW1" s="519" t="s">
        <v>237</v>
      </c>
      <c r="BX1" s="519" t="s">
        <v>33</v>
      </c>
      <c r="BY1" s="519" t="s">
        <v>226</v>
      </c>
      <c r="BZ1" s="60" t="s">
        <v>227</v>
      </c>
      <c r="CA1" s="60" t="s">
        <v>228</v>
      </c>
      <c r="CB1" s="517" t="s">
        <v>329</v>
      </c>
      <c r="CC1" s="393" t="s">
        <v>768</v>
      </c>
      <c r="CD1" s="640" t="s">
        <v>771</v>
      </c>
    </row>
    <row r="2" spans="1:85" ht="19.5" customHeight="1" thickBot="1" x14ac:dyDescent="0.3">
      <c r="A2" s="271"/>
      <c r="B2" s="41" t="s">
        <v>236</v>
      </c>
      <c r="C2" s="1350">
        <f>'DüV-N-Ackerbau (1)'!C2</f>
        <v>1</v>
      </c>
      <c r="D2" s="1351"/>
      <c r="E2" s="1359" t="s">
        <v>1072</v>
      </c>
      <c r="F2" s="1360"/>
      <c r="G2" s="1360"/>
      <c r="I2" s="1356" t="s">
        <v>36</v>
      </c>
      <c r="J2" s="1336"/>
      <c r="L2" s="1293"/>
      <c r="M2" s="1293"/>
      <c r="N2" s="1293"/>
      <c r="O2" s="1293"/>
      <c r="P2" s="1293"/>
      <c r="Q2" s="80"/>
      <c r="R2" s="474"/>
      <c r="S2" s="474"/>
      <c r="BG2" s="1286" t="s">
        <v>1169</v>
      </c>
      <c r="BH2" s="1286"/>
      <c r="BI2" s="1286"/>
      <c r="BJ2" s="1286"/>
      <c r="BK2" s="1286"/>
      <c r="BL2" s="1286"/>
      <c r="BM2" s="1286"/>
      <c r="BN2" s="1286"/>
      <c r="BO2" s="1286"/>
      <c r="BP2" s="1286"/>
      <c r="BQ2" s="1286"/>
      <c r="BW2" s="129" t="s">
        <v>774</v>
      </c>
      <c r="BX2" s="519"/>
      <c r="BY2" s="519"/>
      <c r="BZ2" s="60"/>
      <c r="CA2" s="60"/>
    </row>
    <row r="3" spans="1:85" ht="15" customHeight="1" thickBot="1" x14ac:dyDescent="0.3">
      <c r="A3" s="271"/>
      <c r="B3" s="41" t="s">
        <v>251</v>
      </c>
      <c r="C3" s="1350">
        <f>'DüV-N-Ackerbau (1)'!C3</f>
        <v>123456</v>
      </c>
      <c r="D3" s="1351"/>
      <c r="E3" s="1361"/>
      <c r="F3" s="1362"/>
      <c r="G3" s="1362"/>
      <c r="J3" s="400"/>
      <c r="K3" s="657"/>
      <c r="L3" s="1294"/>
      <c r="M3" s="1294"/>
      <c r="N3" s="1294"/>
      <c r="O3" s="1294"/>
      <c r="P3" s="1294"/>
      <c r="Q3" s="80"/>
      <c r="R3" s="474"/>
      <c r="S3" s="474"/>
      <c r="AE3" s="15"/>
      <c r="AF3" s="400"/>
      <c r="AG3" s="400"/>
      <c r="AH3" s="400"/>
      <c r="AI3" s="400"/>
      <c r="AJ3" s="400"/>
      <c r="AK3" s="400"/>
      <c r="AL3" s="400"/>
      <c r="AM3" s="400"/>
      <c r="AN3" s="400"/>
      <c r="AP3" s="400"/>
      <c r="AQ3" s="400"/>
      <c r="AR3" s="400"/>
      <c r="AS3" s="400"/>
      <c r="AT3" s="400"/>
      <c r="AU3" s="400"/>
      <c r="AV3" s="400"/>
      <c r="AW3" s="400"/>
      <c r="AX3" s="400"/>
      <c r="AY3" s="400"/>
      <c r="AZ3" s="400"/>
      <c r="BA3" s="400"/>
      <c r="BB3" s="400"/>
      <c r="BC3" s="400"/>
      <c r="BD3" s="400"/>
      <c r="BE3" s="400"/>
      <c r="BF3" s="400"/>
      <c r="BG3" s="1286"/>
      <c r="BH3" s="1286"/>
      <c r="BI3" s="1286"/>
      <c r="BJ3" s="1286"/>
      <c r="BK3" s="1286"/>
      <c r="BL3" s="1286"/>
      <c r="BM3" s="1286"/>
      <c r="BN3" s="1286"/>
      <c r="BO3" s="1286"/>
      <c r="BP3" s="1286"/>
      <c r="BQ3" s="1286"/>
      <c r="BW3" s="123" t="s">
        <v>31</v>
      </c>
      <c r="BX3" s="123">
        <v>0</v>
      </c>
      <c r="BY3" s="123">
        <v>0</v>
      </c>
      <c r="BZ3" s="124">
        <v>0</v>
      </c>
      <c r="CA3" s="124">
        <v>0</v>
      </c>
      <c r="CB3" s="641">
        <v>0</v>
      </c>
      <c r="CC3" s="393">
        <v>0</v>
      </c>
      <c r="CD3" s="352">
        <f>BX3*CC3</f>
        <v>0</v>
      </c>
    </row>
    <row r="4" spans="1:85" ht="35.25" customHeight="1" x14ac:dyDescent="0.25">
      <c r="A4" s="1305" t="s">
        <v>1100</v>
      </c>
      <c r="B4" s="1306"/>
      <c r="C4" s="1306"/>
      <c r="D4" s="1306"/>
      <c r="E4" s="1306"/>
      <c r="F4" s="1306"/>
      <c r="G4" s="1306"/>
      <c r="H4" s="1306"/>
      <c r="I4" s="1306"/>
      <c r="J4" s="1306"/>
      <c r="K4" s="1306"/>
      <c r="L4" s="1306"/>
      <c r="M4" s="1306"/>
      <c r="N4" s="1306"/>
      <c r="O4" s="1306"/>
      <c r="P4" s="1306"/>
      <c r="Q4" s="1306"/>
      <c r="R4" s="1306"/>
      <c r="S4" s="1306"/>
      <c r="T4" s="1307"/>
      <c r="V4" s="1280" t="s">
        <v>1164</v>
      </c>
      <c r="W4" s="1281"/>
      <c r="X4" s="1281"/>
      <c r="Y4" s="1281"/>
      <c r="Z4" s="1281"/>
      <c r="AA4" s="1281"/>
      <c r="AB4" s="1281"/>
      <c r="AC4" s="1281"/>
      <c r="AD4" s="1281"/>
      <c r="AE4" s="1281"/>
      <c r="AF4" s="1281"/>
      <c r="AG4" s="1281"/>
      <c r="AH4" s="1281"/>
      <c r="AI4" s="1281"/>
      <c r="AJ4" s="1281"/>
      <c r="AK4" s="1281"/>
      <c r="AL4" s="1281"/>
      <c r="AM4" s="1281"/>
      <c r="AN4" s="1281"/>
      <c r="AO4" s="1281"/>
      <c r="AP4" s="1281"/>
      <c r="AQ4" s="1281"/>
      <c r="AR4" s="1281"/>
      <c r="AS4" s="1281"/>
      <c r="AT4" s="1281"/>
      <c r="AU4" s="1281"/>
      <c r="AV4" s="1281"/>
      <c r="AW4" s="1281"/>
      <c r="AX4" s="1281"/>
      <c r="AY4" s="1281"/>
      <c r="AZ4" s="1281"/>
      <c r="BA4" s="1281"/>
      <c r="BB4" s="1281"/>
      <c r="BC4" s="1281"/>
      <c r="BD4" s="1281"/>
      <c r="BE4" s="1281"/>
      <c r="BG4" s="1286"/>
      <c r="BH4" s="1286"/>
      <c r="BI4" s="1286"/>
      <c r="BJ4" s="1286"/>
      <c r="BK4" s="1286"/>
      <c r="BL4" s="1286"/>
      <c r="BM4" s="1286"/>
      <c r="BN4" s="1286"/>
      <c r="BO4" s="1286"/>
      <c r="BP4" s="1286"/>
      <c r="BQ4" s="1286"/>
      <c r="BW4" s="240" t="s">
        <v>244</v>
      </c>
      <c r="BX4" s="240">
        <v>20</v>
      </c>
      <c r="BY4" s="240">
        <v>80</v>
      </c>
      <c r="BZ4" s="240">
        <v>1</v>
      </c>
      <c r="CA4" s="240">
        <v>1.5</v>
      </c>
      <c r="CB4" s="641">
        <v>60</v>
      </c>
      <c r="CC4" s="393">
        <v>2</v>
      </c>
      <c r="CD4" s="352">
        <f t="shared" ref="CD4:CD61" si="0">BX4*CC4</f>
        <v>40</v>
      </c>
    </row>
    <row r="5" spans="1:85" ht="17.25" customHeight="1" thickBot="1" x14ac:dyDescent="0.3">
      <c r="A5" s="1308" t="s">
        <v>1165</v>
      </c>
      <c r="B5" s="1294"/>
      <c r="C5" s="1294"/>
      <c r="D5" s="1294"/>
      <c r="E5" s="1294"/>
      <c r="F5" s="1294"/>
      <c r="G5" s="1294"/>
      <c r="H5" s="1294"/>
      <c r="I5" s="1294"/>
      <c r="J5" s="1294"/>
      <c r="K5" s="1294"/>
      <c r="L5" s="1293"/>
      <c r="M5" s="1293"/>
      <c r="N5" s="1294"/>
      <c r="O5" s="1294"/>
      <c r="P5" s="1294"/>
      <c r="Q5" s="1294"/>
      <c r="R5" s="1294"/>
      <c r="S5" s="1294"/>
      <c r="T5" s="1309"/>
      <c r="V5" s="1288" t="s">
        <v>1033</v>
      </c>
      <c r="W5" s="1286"/>
      <c r="X5" s="1286"/>
      <c r="Y5" s="1286"/>
      <c r="Z5" s="1286"/>
      <c r="AA5" s="1286"/>
      <c r="AB5" s="1286"/>
      <c r="AC5" s="1286"/>
      <c r="AD5" s="1286"/>
      <c r="AE5" s="1286"/>
      <c r="AF5" s="1286"/>
      <c r="AG5" s="1286"/>
      <c r="AH5" s="1286"/>
      <c r="AI5" s="1286"/>
      <c r="AJ5" s="1286"/>
      <c r="AK5" s="1286"/>
      <c r="AL5" s="1286"/>
      <c r="AM5" s="1286"/>
      <c r="AN5" s="1286"/>
      <c r="AO5" s="1286"/>
      <c r="AP5" s="1286"/>
      <c r="AQ5" s="1286"/>
      <c r="AR5" s="1286"/>
      <c r="AS5" s="1286"/>
      <c r="AT5" s="1286"/>
      <c r="AU5" s="1286"/>
      <c r="AV5" s="1286"/>
      <c r="AW5" s="1286"/>
      <c r="AX5" s="1286"/>
      <c r="AY5" s="1286"/>
      <c r="AZ5" s="1286"/>
      <c r="BA5" s="1286"/>
      <c r="BB5" s="1286"/>
      <c r="BC5" s="1286"/>
      <c r="BD5" s="1286"/>
      <c r="BE5" s="1286"/>
      <c r="BG5" s="1289" t="s">
        <v>1081</v>
      </c>
      <c r="BH5" s="1289"/>
      <c r="BI5" s="1289"/>
      <c r="BJ5" s="1289"/>
      <c r="BK5" s="1289"/>
      <c r="BL5" s="393"/>
      <c r="BM5" s="1277" t="s">
        <v>1092</v>
      </c>
      <c r="BN5" s="1278"/>
      <c r="BO5" s="1278"/>
      <c r="BP5" s="1278"/>
      <c r="BQ5" s="1278"/>
      <c r="BR5" s="776"/>
      <c r="BW5" s="580" t="s">
        <v>604</v>
      </c>
      <c r="BX5" s="580">
        <v>120</v>
      </c>
      <c r="BY5" s="580">
        <v>200</v>
      </c>
      <c r="BZ5" s="580">
        <v>0.5</v>
      </c>
      <c r="CA5" s="580">
        <v>0.75</v>
      </c>
      <c r="CB5" s="641">
        <v>90</v>
      </c>
      <c r="CC5" s="393">
        <v>0.5</v>
      </c>
      <c r="CD5" s="352">
        <f t="shared" si="0"/>
        <v>60</v>
      </c>
    </row>
    <row r="6" spans="1:85" ht="35.25" customHeight="1" x14ac:dyDescent="0.25">
      <c r="A6" s="1363" t="s">
        <v>1091</v>
      </c>
      <c r="B6" s="1365" t="s">
        <v>570</v>
      </c>
      <c r="C6" s="1303" t="s">
        <v>306</v>
      </c>
      <c r="D6" s="1366" t="s">
        <v>301</v>
      </c>
      <c r="E6" s="1367"/>
      <c r="F6" s="1368" t="s">
        <v>302</v>
      </c>
      <c r="G6" s="1369"/>
      <c r="H6" s="1295" t="s">
        <v>6</v>
      </c>
      <c r="I6" s="1282" t="s">
        <v>163</v>
      </c>
      <c r="J6" s="1295" t="s">
        <v>8</v>
      </c>
      <c r="K6" s="1297" t="s">
        <v>163</v>
      </c>
      <c r="L6" s="1299" t="s">
        <v>541</v>
      </c>
      <c r="M6" s="1301" t="s">
        <v>229</v>
      </c>
      <c r="N6" s="1303" t="s">
        <v>262</v>
      </c>
      <c r="O6" s="1282" t="s">
        <v>163</v>
      </c>
      <c r="P6" s="1284" t="s">
        <v>1071</v>
      </c>
      <c r="Q6" s="1316" t="s">
        <v>1028</v>
      </c>
      <c r="R6" s="1317"/>
      <c r="S6" s="1314" t="s">
        <v>1150</v>
      </c>
      <c r="T6" s="1315"/>
      <c r="V6" s="1318" t="s">
        <v>1152</v>
      </c>
      <c r="W6" s="1287" t="s">
        <v>631</v>
      </c>
      <c r="X6" s="1312" t="s">
        <v>1102</v>
      </c>
      <c r="Y6" s="1313"/>
      <c r="Z6" s="1313"/>
      <c r="AA6" s="1313"/>
      <c r="AB6" s="1313"/>
      <c r="AC6" s="1313"/>
      <c r="AE6" s="1312" t="s">
        <v>851</v>
      </c>
      <c r="AF6" s="1313"/>
      <c r="AG6" s="1313"/>
      <c r="AH6" s="1313"/>
      <c r="AI6" s="1313"/>
      <c r="AJ6" s="1313"/>
      <c r="AL6" s="1312" t="s">
        <v>852</v>
      </c>
      <c r="AM6" s="1313"/>
      <c r="AN6" s="1313"/>
      <c r="AO6" s="1313"/>
      <c r="AP6" s="1313"/>
      <c r="AQ6" s="1313"/>
      <c r="AR6" s="112"/>
      <c r="AS6" s="1312" t="s">
        <v>853</v>
      </c>
      <c r="AT6" s="1313"/>
      <c r="AU6" s="1313"/>
      <c r="AV6" s="1313"/>
      <c r="AW6" s="1313"/>
      <c r="AX6" s="1313"/>
      <c r="AY6" s="21"/>
      <c r="AZ6" s="1312" t="s">
        <v>854</v>
      </c>
      <c r="BA6" s="1313"/>
      <c r="BB6" s="1313"/>
      <c r="BC6" s="1313"/>
      <c r="BD6" s="1313"/>
      <c r="BE6" s="1313"/>
      <c r="BG6" s="1290"/>
      <c r="BH6" s="1290"/>
      <c r="BI6" s="1290"/>
      <c r="BJ6" s="1290"/>
      <c r="BK6" s="1290"/>
      <c r="BL6" s="393"/>
      <c r="BM6" s="1279"/>
      <c r="BN6" s="1279"/>
      <c r="BO6" s="1279"/>
      <c r="BP6" s="1279"/>
      <c r="BQ6" s="1279"/>
      <c r="BR6" s="776"/>
      <c r="BW6" s="580" t="s">
        <v>759</v>
      </c>
      <c r="BX6" s="580">
        <v>60</v>
      </c>
      <c r="BY6" s="580">
        <v>200</v>
      </c>
      <c r="BZ6" s="580">
        <v>1</v>
      </c>
      <c r="CA6" s="580">
        <v>1.5</v>
      </c>
      <c r="CB6" s="641">
        <v>90</v>
      </c>
      <c r="CC6" s="393">
        <v>0.8</v>
      </c>
      <c r="CD6" s="352">
        <f t="shared" si="0"/>
        <v>48</v>
      </c>
    </row>
    <row r="7" spans="1:85" ht="66" customHeight="1" thickBot="1" x14ac:dyDescent="0.3">
      <c r="A7" s="1364"/>
      <c r="B7" s="1365"/>
      <c r="C7" s="1303"/>
      <c r="D7" s="404" t="s">
        <v>33</v>
      </c>
      <c r="E7" s="405" t="s">
        <v>303</v>
      </c>
      <c r="F7" s="658" t="s">
        <v>603</v>
      </c>
      <c r="G7" s="405" t="s">
        <v>304</v>
      </c>
      <c r="H7" s="1296"/>
      <c r="I7" s="1283"/>
      <c r="J7" s="1296"/>
      <c r="K7" s="1298"/>
      <c r="L7" s="1300"/>
      <c r="M7" s="1302"/>
      <c r="N7" s="1304"/>
      <c r="O7" s="1283"/>
      <c r="P7" s="1285"/>
      <c r="Q7" s="501" t="s">
        <v>328</v>
      </c>
      <c r="R7" s="483" t="s">
        <v>803</v>
      </c>
      <c r="S7" s="484" t="s">
        <v>605</v>
      </c>
      <c r="T7" s="483" t="s">
        <v>804</v>
      </c>
      <c r="U7" s="124"/>
      <c r="V7" s="1319"/>
      <c r="W7" s="1281"/>
      <c r="X7" s="745" t="s">
        <v>850</v>
      </c>
      <c r="Y7" s="744" t="s">
        <v>830</v>
      </c>
      <c r="Z7" s="681" t="s">
        <v>33</v>
      </c>
      <c r="AA7" s="312" t="s">
        <v>1078</v>
      </c>
      <c r="AB7" s="681" t="s">
        <v>1079</v>
      </c>
      <c r="AC7" s="312" t="s">
        <v>1080</v>
      </c>
      <c r="AE7" s="745" t="s">
        <v>850</v>
      </c>
      <c r="AF7" s="744" t="s">
        <v>830</v>
      </c>
      <c r="AG7" s="681" t="s">
        <v>33</v>
      </c>
      <c r="AH7" s="312" t="s">
        <v>1078</v>
      </c>
      <c r="AI7" s="681" t="s">
        <v>1079</v>
      </c>
      <c r="AJ7" s="312" t="s">
        <v>1080</v>
      </c>
      <c r="AK7" s="124"/>
      <c r="AL7" s="745" t="s">
        <v>850</v>
      </c>
      <c r="AM7" s="744" t="s">
        <v>830</v>
      </c>
      <c r="AN7" s="681" t="s">
        <v>33</v>
      </c>
      <c r="AO7" s="312" t="s">
        <v>1078</v>
      </c>
      <c r="AP7" s="681" t="s">
        <v>1079</v>
      </c>
      <c r="AQ7" s="312" t="s">
        <v>1080</v>
      </c>
      <c r="AR7" s="124"/>
      <c r="AS7" s="745" t="s">
        <v>850</v>
      </c>
      <c r="AT7" s="744" t="s">
        <v>830</v>
      </c>
      <c r="AU7" s="681" t="s">
        <v>33</v>
      </c>
      <c r="AV7" s="312" t="s">
        <v>1078</v>
      </c>
      <c r="AW7" s="681" t="s">
        <v>1079</v>
      </c>
      <c r="AX7" s="312" t="s">
        <v>1080</v>
      </c>
      <c r="AY7" s="124"/>
      <c r="AZ7" s="745" t="s">
        <v>850</v>
      </c>
      <c r="BA7" s="744" t="s">
        <v>830</v>
      </c>
      <c r="BB7" s="681" t="s">
        <v>33</v>
      </c>
      <c r="BC7" s="312" t="s">
        <v>1078</v>
      </c>
      <c r="BD7" s="681" t="s">
        <v>1079</v>
      </c>
      <c r="BE7" s="312" t="s">
        <v>1080</v>
      </c>
      <c r="BF7" s="60"/>
      <c r="BG7" s="775" t="s">
        <v>1096</v>
      </c>
      <c r="BH7" s="312" t="s">
        <v>1082</v>
      </c>
      <c r="BI7" s="312" t="s">
        <v>1083</v>
      </c>
      <c r="BJ7" s="699" t="s">
        <v>1268</v>
      </c>
      <c r="BK7" s="312" t="s">
        <v>290</v>
      </c>
      <c r="BL7" s="519"/>
      <c r="BM7" s="780" t="s">
        <v>1096</v>
      </c>
      <c r="BN7" s="312" t="s">
        <v>1082</v>
      </c>
      <c r="BO7" s="781" t="s">
        <v>1098</v>
      </c>
      <c r="BP7" s="699" t="s">
        <v>1268</v>
      </c>
      <c r="BQ7" s="312" t="s">
        <v>290</v>
      </c>
      <c r="BR7" s="519"/>
      <c r="BS7" s="124"/>
      <c r="BT7" s="392" t="s">
        <v>231</v>
      </c>
      <c r="BU7" s="392" t="s">
        <v>232</v>
      </c>
      <c r="BW7" s="393" t="s">
        <v>549</v>
      </c>
      <c r="BX7" s="393">
        <v>55</v>
      </c>
      <c r="BY7" s="393">
        <v>200</v>
      </c>
      <c r="BZ7" s="393">
        <v>1</v>
      </c>
      <c r="CA7" s="393">
        <v>1.5</v>
      </c>
      <c r="CB7" s="641">
        <v>60</v>
      </c>
      <c r="CC7" s="393">
        <v>0.8</v>
      </c>
      <c r="CD7" s="352">
        <f t="shared" si="0"/>
        <v>44</v>
      </c>
      <c r="CE7" s="9"/>
      <c r="CF7" s="32"/>
    </row>
    <row r="8" spans="1:85" s="124" customFormat="1" ht="26.25" customHeight="1" x14ac:dyDescent="0.25">
      <c r="A8" s="379"/>
      <c r="B8" s="1214"/>
      <c r="C8" s="599" t="s">
        <v>31</v>
      </c>
      <c r="D8" s="406">
        <f t="shared" ref="D8:D30" si="1">VLOOKUP(C8,BW$3:CA$61,2,FALSE)</f>
        <v>0</v>
      </c>
      <c r="E8" s="426">
        <f t="shared" ref="E8:E31" si="2">VLOOKUP(C8,BW$3:CA$61,3,FALSE)</f>
        <v>0</v>
      </c>
      <c r="F8" s="1205"/>
      <c r="G8" s="412">
        <f t="shared" ref="G8:G31" si="3">IF(F8&lt;=D8,E8-(D8-F8)*BU8,E8+(F8-D8)*BT8)</f>
        <v>0</v>
      </c>
      <c r="H8" s="604" t="s">
        <v>510</v>
      </c>
      <c r="I8" s="426">
        <f t="shared" ref="I8:I31" si="4">VLOOKUP(H8,BW$65:BX$75,2,FALSE)</f>
        <v>0</v>
      </c>
      <c r="J8" s="429" t="s">
        <v>31</v>
      </c>
      <c r="K8" s="605">
        <f t="shared" ref="K8:K31" si="5">VLOOKUP(J8,BW$78:BX$87,2,FALSE)</f>
        <v>0</v>
      </c>
      <c r="L8" s="406">
        <f t="shared" ref="L8:L31" si="6">VLOOKUP(C8,BW$3:CB$61,6,FALSE)</f>
        <v>0</v>
      </c>
      <c r="M8" s="1208"/>
      <c r="N8" s="453" t="s">
        <v>160</v>
      </c>
      <c r="O8" s="426">
        <f t="shared" ref="O8:O31" si="7">VLOOKUP(N8,BW$90:BX$91,2,FALSE)</f>
        <v>0</v>
      </c>
      <c r="P8" s="1211"/>
      <c r="Q8" s="748">
        <f>IF(G8-M8-P8-O8-I8-K8&lt;0,0,G8-M8-P8-O8-I8-K8)</f>
        <v>0</v>
      </c>
      <c r="R8" s="749">
        <f t="shared" ref="R8:R31" si="8">IF(Q8&lt;0,0,Q8*B8)</f>
        <v>0</v>
      </c>
      <c r="S8" s="750">
        <f t="shared" ref="S8:S30" si="9">F8*VLOOKUP(C8,BW$3:CC$61,7,FALSE)</f>
        <v>0</v>
      </c>
      <c r="T8" s="434">
        <f>IF(S8&lt;0,0,S8*B8)</f>
        <v>0</v>
      </c>
      <c r="U8" s="80"/>
      <c r="V8" s="852">
        <f>A8</f>
        <v>0</v>
      </c>
      <c r="W8" s="852" t="str">
        <f>C8</f>
        <v>keine</v>
      </c>
      <c r="X8" s="886"/>
      <c r="Y8" s="887" t="s">
        <v>805</v>
      </c>
      <c r="Z8" s="906">
        <v>1</v>
      </c>
      <c r="AA8" s="687">
        <f>VLOOKUP(Y8,Düngemittel!$B$6:$E$64,2,FALSE)*(VLOOKUP(Y8,Düngemittel!$B$6:$E$64,3,FALSE))/100*Z8</f>
        <v>0</v>
      </c>
      <c r="AB8" s="687">
        <f>VLOOKUP(Y8,Düngemittel!$B$6:$E$64,2,FALSE)*Z8</f>
        <v>0</v>
      </c>
      <c r="AC8" s="687">
        <f>VLOOKUP(Y8,Düngemittel!$B$6:$E$64,4,FALSE)*Z8</f>
        <v>0</v>
      </c>
      <c r="AD8" s="80"/>
      <c r="AE8" s="886"/>
      <c r="AF8" s="887" t="s">
        <v>805</v>
      </c>
      <c r="AG8" s="906">
        <v>0</v>
      </c>
      <c r="AH8" s="687">
        <f>VLOOKUP(AF8,Düngemittel!$B$6:$E$64,2,FALSE)*(VLOOKUP(AF8,Düngemittel!$B$6:$E$64,3,FALSE))/100*AG8</f>
        <v>0</v>
      </c>
      <c r="AI8" s="687">
        <f>VLOOKUP(AF8,Düngemittel!$B$6:$E$64,2,FALSE)*AG8</f>
        <v>0</v>
      </c>
      <c r="AJ8" s="687">
        <f>VLOOKUP(AF8,Düngemittel!$B$6:$E$64,4,FALSE)*AG8</f>
        <v>0</v>
      </c>
      <c r="AK8" s="80"/>
      <c r="AL8" s="886"/>
      <c r="AM8" s="887" t="s">
        <v>805</v>
      </c>
      <c r="AN8" s="906">
        <v>0</v>
      </c>
      <c r="AO8" s="687">
        <f>VLOOKUP(AM8,Düngemittel!$B$6:$E$64,2,FALSE)*(VLOOKUP(AM8,Düngemittel!$B$6:$E$64,3,FALSE))/100*AN8</f>
        <v>0</v>
      </c>
      <c r="AP8" s="687">
        <f>VLOOKUP(AM8,Düngemittel!$B$6:$E$64,2,FALSE)*AN8</f>
        <v>0</v>
      </c>
      <c r="AQ8" s="687">
        <f>VLOOKUP(AM8,Düngemittel!$B$6:$E$64,4,FALSE)*AN8</f>
        <v>0</v>
      </c>
      <c r="AR8" s="80"/>
      <c r="AS8" s="886"/>
      <c r="AT8" s="887" t="s">
        <v>805</v>
      </c>
      <c r="AU8" s="906">
        <v>0</v>
      </c>
      <c r="AV8" s="687">
        <f>VLOOKUP(AT8,Düngemittel!$B$6:$E$64,2,FALSE)*(VLOOKUP(AT8,Düngemittel!$B$6:$E$64,3,FALSE))/100*AU8</f>
        <v>0</v>
      </c>
      <c r="AW8" s="687">
        <f>VLOOKUP(AT8,Düngemittel!$B$6:$E$64,2,FALSE)*AU8</f>
        <v>0</v>
      </c>
      <c r="AX8" s="687">
        <f>VLOOKUP(AT8,Düngemittel!$B$6:$E$64,4,FALSE)*AU8</f>
        <v>0</v>
      </c>
      <c r="AY8" s="80"/>
      <c r="AZ8" s="886"/>
      <c r="BA8" s="887" t="s">
        <v>805</v>
      </c>
      <c r="BB8" s="906">
        <v>0</v>
      </c>
      <c r="BC8" s="687">
        <f>VLOOKUP(BA8,Düngemittel!$B$6:$E$64,2,FALSE)*(VLOOKUP(BA8,Düngemittel!$B$6:$E$64,3,FALSE))/100*BB8</f>
        <v>0</v>
      </c>
      <c r="BD8" s="687">
        <f>VLOOKUP(BA8,Düngemittel!$B$6:$E$64,2,FALSE)*BB8</f>
        <v>0</v>
      </c>
      <c r="BE8" s="687">
        <f>VLOOKUP(BA8,Düngemittel!$B$6:$E$64,4,FALSE)*BB8</f>
        <v>0</v>
      </c>
      <c r="BF8" s="80"/>
      <c r="BG8" s="853">
        <f>IF(AA8&lt;AB8,0,AA8)+IF(AH8&lt;AI8,0,AH8)+IF(AO8&lt;AP8,0,AO8)+IF(AV8&lt;AW8,0,AV8)+IF(BC8&lt;BD8,0,BC8)</f>
        <v>0</v>
      </c>
      <c r="BH8" s="308">
        <f>(AA8+AH8+AO8+AV8+BC8)</f>
        <v>0</v>
      </c>
      <c r="BI8" s="853">
        <f>(AB8+AI8+AP8+AW8+BD8)</f>
        <v>0</v>
      </c>
      <c r="BJ8" s="777">
        <f>IF(AA8&lt;AB8,AB8,0)+IF(AH8&lt;AI8,AI8,0)+IF(AO8&lt;AP8,AP8,0)+IF(AV8&lt;AW8,AW8,0)+IF(BC8&lt;BD8,BD8,0)</f>
        <v>0</v>
      </c>
      <c r="BK8" s="308">
        <f>(AC8+AJ8+AQ8+AX8+BE8)</f>
        <v>0</v>
      </c>
      <c r="BL8" s="83"/>
      <c r="BM8" s="686">
        <f>BG8*$B8</f>
        <v>0</v>
      </c>
      <c r="BN8" s="686">
        <f t="shared" ref="BN8:BQ23" si="10">BH8*$B8</f>
        <v>0</v>
      </c>
      <c r="BO8" s="686">
        <f t="shared" si="10"/>
        <v>0</v>
      </c>
      <c r="BP8" s="686">
        <f t="shared" si="10"/>
        <v>0</v>
      </c>
      <c r="BQ8" s="686">
        <f t="shared" si="10"/>
        <v>0</v>
      </c>
      <c r="BR8" s="80"/>
      <c r="BS8" s="80"/>
      <c r="BT8" s="351">
        <f t="shared" ref="BT8:BT31" si="11">VLOOKUP(C8,BW$3:CB$61,4,FALSE)</f>
        <v>0</v>
      </c>
      <c r="BU8" s="351">
        <f t="shared" ref="BU8:BU31" si="12">VLOOKUP(C8,BW$3:CB$61,5,FALSE)</f>
        <v>0</v>
      </c>
      <c r="BV8" s="123"/>
      <c r="BW8" s="240" t="s">
        <v>760</v>
      </c>
      <c r="BX8" s="240">
        <v>40</v>
      </c>
      <c r="BY8" s="597">
        <v>115</v>
      </c>
      <c r="BZ8" s="240">
        <v>1</v>
      </c>
      <c r="CA8" s="240">
        <v>1.5</v>
      </c>
      <c r="CB8" s="641">
        <v>90</v>
      </c>
      <c r="CC8" s="393">
        <v>0.8</v>
      </c>
      <c r="CD8" s="352">
        <f t="shared" si="0"/>
        <v>32</v>
      </c>
      <c r="CE8" s="32"/>
      <c r="CF8" s="3"/>
      <c r="CG8" s="80"/>
    </row>
    <row r="9" spans="1:85" ht="26.25" customHeight="1" x14ac:dyDescent="0.25">
      <c r="A9" s="342"/>
      <c r="B9" s="1215"/>
      <c r="C9" s="600" t="s">
        <v>31</v>
      </c>
      <c r="D9" s="408">
        <f t="shared" si="1"/>
        <v>0</v>
      </c>
      <c r="E9" s="427">
        <f t="shared" si="2"/>
        <v>0</v>
      </c>
      <c r="F9" s="1206"/>
      <c r="G9" s="413">
        <f t="shared" si="3"/>
        <v>0</v>
      </c>
      <c r="H9" s="602" t="s">
        <v>510</v>
      </c>
      <c r="I9" s="427">
        <f t="shared" si="4"/>
        <v>0</v>
      </c>
      <c r="J9" s="430" t="s">
        <v>31</v>
      </c>
      <c r="K9" s="606">
        <f t="shared" si="5"/>
        <v>0</v>
      </c>
      <c r="L9" s="408">
        <f t="shared" si="6"/>
        <v>0</v>
      </c>
      <c r="M9" s="1209"/>
      <c r="N9" s="450" t="s">
        <v>160</v>
      </c>
      <c r="O9" s="427">
        <f t="shared" si="7"/>
        <v>0</v>
      </c>
      <c r="P9" s="1212"/>
      <c r="Q9" s="747">
        <f t="shared" ref="Q9:Q31" si="13">IF(G9-M9-P9-O9-I9-K9&lt;0,0,G9-M9-P9-O9-I9-K9)</f>
        <v>0</v>
      </c>
      <c r="R9" s="608">
        <f t="shared" si="8"/>
        <v>0</v>
      </c>
      <c r="S9" s="479">
        <f t="shared" si="9"/>
        <v>0</v>
      </c>
      <c r="T9" s="435">
        <f t="shared" ref="T9:T31" si="14">IF(S9&lt;0,0,S9*B9)</f>
        <v>0</v>
      </c>
      <c r="V9" s="852">
        <f t="shared" ref="V9:V31" si="15">A9</f>
        <v>0</v>
      </c>
      <c r="W9" s="852" t="str">
        <f t="shared" ref="W9:W31" si="16">C9</f>
        <v>keine</v>
      </c>
      <c r="X9" s="886"/>
      <c r="Y9" s="887" t="s">
        <v>805</v>
      </c>
      <c r="Z9" s="906">
        <v>0</v>
      </c>
      <c r="AA9" s="687">
        <f>VLOOKUP(Y9,Düngemittel!$B$6:$E$64,2,FALSE)*(VLOOKUP(Y9,Düngemittel!$B$6:$E$64,3,FALSE))/100*Z9</f>
        <v>0</v>
      </c>
      <c r="AB9" s="687">
        <f>VLOOKUP(Y9,Düngemittel!$B$6:$E$64,2,FALSE)*Z9</f>
        <v>0</v>
      </c>
      <c r="AC9" s="687">
        <f>VLOOKUP(Y9,Düngemittel!$B$6:$E$64,4,FALSE)*Z9</f>
        <v>0</v>
      </c>
      <c r="AE9" s="886"/>
      <c r="AF9" s="887" t="s">
        <v>805</v>
      </c>
      <c r="AG9" s="906">
        <v>0</v>
      </c>
      <c r="AH9" s="687">
        <f>VLOOKUP(AF9,Düngemittel!$B$6:$E$64,2,FALSE)*(VLOOKUP(AF9,Düngemittel!$B$6:$E$64,3,FALSE))/100*AG9</f>
        <v>0</v>
      </c>
      <c r="AI9" s="687">
        <f>VLOOKUP(AF9,Düngemittel!$B$6:$E$64,2,FALSE)*AG9</f>
        <v>0</v>
      </c>
      <c r="AJ9" s="687">
        <f>VLOOKUP(AF9,Düngemittel!$B$6:$E$64,4,FALSE)*AG9</f>
        <v>0</v>
      </c>
      <c r="AL9" s="886"/>
      <c r="AM9" s="887" t="s">
        <v>805</v>
      </c>
      <c r="AN9" s="906">
        <v>0</v>
      </c>
      <c r="AO9" s="687">
        <f>VLOOKUP(AM9,Düngemittel!$B$6:$E$64,2,FALSE)*(VLOOKUP(AM9,Düngemittel!$B$6:$E$64,3,FALSE))/100*AN9</f>
        <v>0</v>
      </c>
      <c r="AP9" s="687">
        <f>VLOOKUP(AM9,Düngemittel!$B$6:$E$64,2,FALSE)*AN9</f>
        <v>0</v>
      </c>
      <c r="AQ9" s="687">
        <f>VLOOKUP(AM9,Düngemittel!$B$6:$E$64,4,FALSE)*AN9</f>
        <v>0</v>
      </c>
      <c r="AS9" s="886"/>
      <c r="AT9" s="887" t="s">
        <v>805</v>
      </c>
      <c r="AU9" s="906">
        <v>0</v>
      </c>
      <c r="AV9" s="687">
        <f>VLOOKUP(AT9,Düngemittel!$B$6:$E$64,2,FALSE)*(VLOOKUP(AT9,Düngemittel!$B$6:$E$64,3,FALSE))/100*AU9</f>
        <v>0</v>
      </c>
      <c r="AW9" s="687">
        <f>VLOOKUP(AT9,Düngemittel!$B$6:$E$64,2,FALSE)*AU9</f>
        <v>0</v>
      </c>
      <c r="AX9" s="687">
        <f>VLOOKUP(AT9,Düngemittel!$B$6:$E$64,4,FALSE)*AU9</f>
        <v>0</v>
      </c>
      <c r="AZ9" s="886"/>
      <c r="BA9" s="887" t="s">
        <v>805</v>
      </c>
      <c r="BB9" s="906">
        <v>0</v>
      </c>
      <c r="BC9" s="687">
        <f>VLOOKUP(BA9,Düngemittel!$B$6:$E$64,2,FALSE)*(VLOOKUP(BA9,Düngemittel!$B$6:$E$64,3,FALSE))/100*BB9</f>
        <v>0</v>
      </c>
      <c r="BD9" s="687">
        <f>VLOOKUP(BA9,Düngemittel!$B$6:$E$64,2,FALSE)*BB9</f>
        <v>0</v>
      </c>
      <c r="BE9" s="687">
        <f>VLOOKUP(BA9,Düngemittel!$B$6:$E$64,4,FALSE)*BB9</f>
        <v>0</v>
      </c>
      <c r="BG9" s="853">
        <f t="shared" ref="BG9:BG31" si="17">IF(AA9&lt;AB9,0,AA9)+IF(AH9&lt;AI9,0,AH9)+IF(AO9&lt;AP9,0,AO9)+IF(AV9&lt;AW9,0,AV9)+IF(BC9&lt;BD9,0,BC9)</f>
        <v>0</v>
      </c>
      <c r="BH9" s="308">
        <f t="shared" ref="BH9:BI31" si="18">(AA9+AH9+AO9+AV9+BC9)</f>
        <v>0</v>
      </c>
      <c r="BI9" s="853">
        <f t="shared" si="18"/>
        <v>0</v>
      </c>
      <c r="BJ9" s="777">
        <f t="shared" ref="BJ9:BJ31" si="19">IF(AA9&lt;AB9,AB9,0)+IF(AH9&lt;AI9,AI9,0)+IF(AO9&lt;AP9,AP9,0)+IF(AV9&lt;AW9,AW9,0)+IF(BC9&lt;BD9,BD9,0)</f>
        <v>0</v>
      </c>
      <c r="BK9" s="308">
        <f t="shared" ref="BK9:BK31" si="20">(AC9+AJ9+AQ9+AX9+BE9)</f>
        <v>0</v>
      </c>
      <c r="BL9" s="83"/>
      <c r="BM9" s="686">
        <f t="shared" ref="BM9:BQ31" si="21">BG9*$B9</f>
        <v>0</v>
      </c>
      <c r="BN9" s="686">
        <f t="shared" si="10"/>
        <v>0</v>
      </c>
      <c r="BO9" s="686">
        <f t="shared" si="10"/>
        <v>0</v>
      </c>
      <c r="BP9" s="686">
        <f t="shared" si="10"/>
        <v>0</v>
      </c>
      <c r="BQ9" s="686">
        <f t="shared" si="10"/>
        <v>0</v>
      </c>
      <c r="BT9" s="351">
        <f t="shared" si="11"/>
        <v>0</v>
      </c>
      <c r="BU9" s="351">
        <f t="shared" si="12"/>
        <v>0</v>
      </c>
      <c r="BW9" s="580" t="s">
        <v>764</v>
      </c>
      <c r="BX9" s="580">
        <v>150</v>
      </c>
      <c r="BY9" s="580">
        <v>160</v>
      </c>
      <c r="BZ9" s="580">
        <v>0.2</v>
      </c>
      <c r="CA9" s="580">
        <v>0.3</v>
      </c>
      <c r="CB9" s="641">
        <v>60</v>
      </c>
      <c r="CC9" s="393">
        <v>0.32</v>
      </c>
      <c r="CD9" s="352">
        <f t="shared" si="0"/>
        <v>48</v>
      </c>
      <c r="CE9" s="9"/>
      <c r="CF9" s="3"/>
    </row>
    <row r="10" spans="1:85" ht="26.25" customHeight="1" x14ac:dyDescent="0.25">
      <c r="A10" s="342"/>
      <c r="B10" s="1215"/>
      <c r="C10" s="600" t="s">
        <v>31</v>
      </c>
      <c r="D10" s="408">
        <f t="shared" si="1"/>
        <v>0</v>
      </c>
      <c r="E10" s="427">
        <f t="shared" si="2"/>
        <v>0</v>
      </c>
      <c r="F10" s="1206"/>
      <c r="G10" s="413">
        <f t="shared" si="3"/>
        <v>0</v>
      </c>
      <c r="H10" s="602" t="s">
        <v>510</v>
      </c>
      <c r="I10" s="427">
        <f t="shared" si="4"/>
        <v>0</v>
      </c>
      <c r="J10" s="430" t="s">
        <v>31</v>
      </c>
      <c r="K10" s="606">
        <f t="shared" si="5"/>
        <v>0</v>
      </c>
      <c r="L10" s="408">
        <f t="shared" si="6"/>
        <v>0</v>
      </c>
      <c r="M10" s="1209"/>
      <c r="N10" s="450" t="s">
        <v>160</v>
      </c>
      <c r="O10" s="427">
        <f t="shared" si="7"/>
        <v>0</v>
      </c>
      <c r="P10" s="1212"/>
      <c r="Q10" s="747">
        <f t="shared" si="13"/>
        <v>0</v>
      </c>
      <c r="R10" s="608">
        <f t="shared" si="8"/>
        <v>0</v>
      </c>
      <c r="S10" s="479">
        <f t="shared" si="9"/>
        <v>0</v>
      </c>
      <c r="T10" s="435">
        <f t="shared" si="14"/>
        <v>0</v>
      </c>
      <c r="V10" s="852">
        <f t="shared" si="15"/>
        <v>0</v>
      </c>
      <c r="W10" s="852" t="str">
        <f t="shared" si="16"/>
        <v>keine</v>
      </c>
      <c r="X10" s="886"/>
      <c r="Y10" s="887" t="s">
        <v>805</v>
      </c>
      <c r="Z10" s="906">
        <v>0</v>
      </c>
      <c r="AA10" s="687">
        <f>VLOOKUP(Y10,Düngemittel!$B$6:$E$64,2,FALSE)*(VLOOKUP(Y10,Düngemittel!$B$6:$E$64,3,FALSE))/100*Z10</f>
        <v>0</v>
      </c>
      <c r="AB10" s="687">
        <f>VLOOKUP(Y10,Düngemittel!$B$6:$E$64,2,FALSE)*Z10</f>
        <v>0</v>
      </c>
      <c r="AC10" s="687">
        <f>VLOOKUP(Y10,Düngemittel!$B$6:$E$64,4,FALSE)*Z10</f>
        <v>0</v>
      </c>
      <c r="AE10" s="886"/>
      <c r="AF10" s="887" t="s">
        <v>805</v>
      </c>
      <c r="AG10" s="906">
        <v>0</v>
      </c>
      <c r="AH10" s="687">
        <f>VLOOKUP(AF10,Düngemittel!$B$6:$E$64,2,FALSE)*(VLOOKUP(AF10,Düngemittel!$B$6:$E$64,3,FALSE))/100*AG10</f>
        <v>0</v>
      </c>
      <c r="AI10" s="687">
        <f>VLOOKUP(AF10,Düngemittel!$B$6:$E$64,2,FALSE)*AG10</f>
        <v>0</v>
      </c>
      <c r="AJ10" s="687">
        <f>VLOOKUP(AF10,Düngemittel!$B$6:$E$64,4,FALSE)*AG10</f>
        <v>0</v>
      </c>
      <c r="AL10" s="886"/>
      <c r="AM10" s="887" t="s">
        <v>805</v>
      </c>
      <c r="AN10" s="906">
        <v>0</v>
      </c>
      <c r="AO10" s="687">
        <f>VLOOKUP(AM10,Düngemittel!$B$6:$E$64,2,FALSE)*(VLOOKUP(AM10,Düngemittel!$B$6:$E$64,3,FALSE))/100*AN10</f>
        <v>0</v>
      </c>
      <c r="AP10" s="687">
        <f>VLOOKUP(AM10,Düngemittel!$B$6:$E$64,2,FALSE)*AN10</f>
        <v>0</v>
      </c>
      <c r="AQ10" s="687">
        <f>VLOOKUP(AM10,Düngemittel!$B$6:$E$64,4,FALSE)*AN10</f>
        <v>0</v>
      </c>
      <c r="AS10" s="886"/>
      <c r="AT10" s="887" t="s">
        <v>805</v>
      </c>
      <c r="AU10" s="906">
        <v>0</v>
      </c>
      <c r="AV10" s="687">
        <f>VLOOKUP(AT10,Düngemittel!$B$6:$E$64,2,FALSE)*(VLOOKUP(AT10,Düngemittel!$B$6:$E$64,3,FALSE))/100*AU10</f>
        <v>0</v>
      </c>
      <c r="AW10" s="687">
        <f>VLOOKUP(AT10,Düngemittel!$B$6:$E$64,2,FALSE)*AU10</f>
        <v>0</v>
      </c>
      <c r="AX10" s="687">
        <f>VLOOKUP(AT10,Düngemittel!$B$6:$E$64,4,FALSE)*AU10</f>
        <v>0</v>
      </c>
      <c r="AZ10" s="886"/>
      <c r="BA10" s="887" t="s">
        <v>805</v>
      </c>
      <c r="BB10" s="906">
        <v>0</v>
      </c>
      <c r="BC10" s="687">
        <f>VLOOKUP(BA10,Düngemittel!$B$6:$E$64,2,FALSE)*(VLOOKUP(BA10,Düngemittel!$B$6:$E$64,3,FALSE))/100*BB10</f>
        <v>0</v>
      </c>
      <c r="BD10" s="687">
        <f>VLOOKUP(BA10,Düngemittel!$B$6:$E$64,2,FALSE)*BB10</f>
        <v>0</v>
      </c>
      <c r="BE10" s="687">
        <f>VLOOKUP(BA10,Düngemittel!$B$6:$E$64,4,FALSE)*BB10</f>
        <v>0</v>
      </c>
      <c r="BG10" s="853">
        <f t="shared" si="17"/>
        <v>0</v>
      </c>
      <c r="BH10" s="308">
        <f t="shared" si="18"/>
        <v>0</v>
      </c>
      <c r="BI10" s="853">
        <f t="shared" si="18"/>
        <v>0</v>
      </c>
      <c r="BJ10" s="777">
        <f t="shared" si="19"/>
        <v>0</v>
      </c>
      <c r="BK10" s="308">
        <f t="shared" si="20"/>
        <v>0</v>
      </c>
      <c r="BL10" s="83"/>
      <c r="BM10" s="686">
        <f t="shared" si="21"/>
        <v>0</v>
      </c>
      <c r="BN10" s="686">
        <f t="shared" si="10"/>
        <v>0</v>
      </c>
      <c r="BO10" s="686">
        <f t="shared" si="10"/>
        <v>0</v>
      </c>
      <c r="BP10" s="686">
        <f t="shared" si="10"/>
        <v>0</v>
      </c>
      <c r="BQ10" s="686">
        <f t="shared" si="10"/>
        <v>0</v>
      </c>
      <c r="BT10" s="351">
        <f t="shared" si="11"/>
        <v>0</v>
      </c>
      <c r="BU10" s="351">
        <f t="shared" si="12"/>
        <v>0</v>
      </c>
      <c r="BW10" s="580" t="s">
        <v>690</v>
      </c>
      <c r="BX10" s="580">
        <v>80</v>
      </c>
      <c r="BY10" s="580">
        <v>100</v>
      </c>
      <c r="BZ10" s="580">
        <v>1</v>
      </c>
      <c r="CA10" s="580">
        <v>1.5</v>
      </c>
      <c r="CB10" s="641">
        <v>60</v>
      </c>
      <c r="CC10" s="393">
        <v>0.64</v>
      </c>
      <c r="CD10" s="352">
        <f t="shared" si="0"/>
        <v>51.2</v>
      </c>
      <c r="CE10" s="9"/>
      <c r="CF10" s="3"/>
    </row>
    <row r="11" spans="1:85" ht="26.25" customHeight="1" x14ac:dyDescent="0.25">
      <c r="A11" s="342"/>
      <c r="B11" s="1215"/>
      <c r="C11" s="600" t="s">
        <v>31</v>
      </c>
      <c r="D11" s="408">
        <f t="shared" si="1"/>
        <v>0</v>
      </c>
      <c r="E11" s="427">
        <f t="shared" si="2"/>
        <v>0</v>
      </c>
      <c r="F11" s="1206"/>
      <c r="G11" s="413">
        <f t="shared" si="3"/>
        <v>0</v>
      </c>
      <c r="H11" s="602" t="s">
        <v>510</v>
      </c>
      <c r="I11" s="427">
        <f t="shared" si="4"/>
        <v>0</v>
      </c>
      <c r="J11" s="430" t="s">
        <v>31</v>
      </c>
      <c r="K11" s="606">
        <f t="shared" si="5"/>
        <v>0</v>
      </c>
      <c r="L11" s="408">
        <f t="shared" si="6"/>
        <v>0</v>
      </c>
      <c r="M11" s="1209"/>
      <c r="N11" s="450" t="s">
        <v>160</v>
      </c>
      <c r="O11" s="427">
        <f t="shared" si="7"/>
        <v>0</v>
      </c>
      <c r="P11" s="1212"/>
      <c r="Q11" s="747">
        <f t="shared" si="13"/>
        <v>0</v>
      </c>
      <c r="R11" s="608">
        <f t="shared" si="8"/>
        <v>0</v>
      </c>
      <c r="S11" s="479">
        <f t="shared" si="9"/>
        <v>0</v>
      </c>
      <c r="T11" s="435">
        <f t="shared" si="14"/>
        <v>0</v>
      </c>
      <c r="V11" s="852">
        <f t="shared" si="15"/>
        <v>0</v>
      </c>
      <c r="W11" s="852" t="str">
        <f t="shared" si="16"/>
        <v>keine</v>
      </c>
      <c r="X11" s="886"/>
      <c r="Y11" s="887" t="s">
        <v>805</v>
      </c>
      <c r="Z11" s="906">
        <v>0</v>
      </c>
      <c r="AA11" s="687">
        <f>VLOOKUP(Y11,Düngemittel!$B$6:$E$64,2,FALSE)*(VLOOKUP(Y11,Düngemittel!$B$6:$E$64,3,FALSE))/100*Z11</f>
        <v>0</v>
      </c>
      <c r="AB11" s="687">
        <f>VLOOKUP(Y11,Düngemittel!$B$6:$E$64,2,FALSE)*Z11</f>
        <v>0</v>
      </c>
      <c r="AC11" s="687">
        <f>VLOOKUP(Y11,Düngemittel!$B$6:$E$64,4,FALSE)*Z11</f>
        <v>0</v>
      </c>
      <c r="AE11" s="886"/>
      <c r="AF11" s="887" t="s">
        <v>805</v>
      </c>
      <c r="AG11" s="906">
        <v>0</v>
      </c>
      <c r="AH11" s="687">
        <f>VLOOKUP(AF11,Düngemittel!$B$6:$E$64,2,FALSE)*(VLOOKUP(AF11,Düngemittel!$B$6:$E$64,3,FALSE))/100*AG11</f>
        <v>0</v>
      </c>
      <c r="AI11" s="687">
        <f>VLOOKUP(AF11,Düngemittel!$B$6:$E$64,2,FALSE)*AG11</f>
        <v>0</v>
      </c>
      <c r="AJ11" s="687">
        <f>VLOOKUP(AF11,Düngemittel!$B$6:$E$64,4,FALSE)*AG11</f>
        <v>0</v>
      </c>
      <c r="AL11" s="886"/>
      <c r="AM11" s="887" t="s">
        <v>805</v>
      </c>
      <c r="AN11" s="906">
        <v>0</v>
      </c>
      <c r="AO11" s="687">
        <f>VLOOKUP(AM11,Düngemittel!$B$6:$E$64,2,FALSE)*(VLOOKUP(AM11,Düngemittel!$B$6:$E$64,3,FALSE))/100*AN11</f>
        <v>0</v>
      </c>
      <c r="AP11" s="687">
        <f>VLOOKUP(AM11,Düngemittel!$B$6:$E$64,2,FALSE)*AN11</f>
        <v>0</v>
      </c>
      <c r="AQ11" s="687">
        <f>VLOOKUP(AM11,Düngemittel!$B$6:$E$64,4,FALSE)*AN11</f>
        <v>0</v>
      </c>
      <c r="AS11" s="886"/>
      <c r="AT11" s="887" t="s">
        <v>805</v>
      </c>
      <c r="AU11" s="906">
        <v>0</v>
      </c>
      <c r="AV11" s="687">
        <f>VLOOKUP(AT11,Düngemittel!$B$6:$E$64,2,FALSE)*(VLOOKUP(AT11,Düngemittel!$B$6:$E$64,3,FALSE))/100*AU11</f>
        <v>0</v>
      </c>
      <c r="AW11" s="687">
        <f>VLOOKUP(AT11,Düngemittel!$B$6:$E$64,2,FALSE)*AU11</f>
        <v>0</v>
      </c>
      <c r="AX11" s="687">
        <f>VLOOKUP(AT11,Düngemittel!$B$6:$E$64,4,FALSE)*AU11</f>
        <v>0</v>
      </c>
      <c r="AZ11" s="886"/>
      <c r="BA11" s="887" t="s">
        <v>805</v>
      </c>
      <c r="BB11" s="906">
        <v>0</v>
      </c>
      <c r="BC11" s="687">
        <f>VLOOKUP(BA11,Düngemittel!$B$6:$E$64,2,FALSE)*(VLOOKUP(BA11,Düngemittel!$B$6:$E$64,3,FALSE))/100*BB11</f>
        <v>0</v>
      </c>
      <c r="BD11" s="687">
        <f>VLOOKUP(BA11,Düngemittel!$B$6:$E$64,2,FALSE)*BB11</f>
        <v>0</v>
      </c>
      <c r="BE11" s="687">
        <f>VLOOKUP(BA11,Düngemittel!$B$6:$E$64,4,FALSE)*BB11</f>
        <v>0</v>
      </c>
      <c r="BG11" s="853">
        <f t="shared" si="17"/>
        <v>0</v>
      </c>
      <c r="BH11" s="308">
        <f t="shared" si="18"/>
        <v>0</v>
      </c>
      <c r="BI11" s="853">
        <f t="shared" si="18"/>
        <v>0</v>
      </c>
      <c r="BJ11" s="777">
        <f t="shared" si="19"/>
        <v>0</v>
      </c>
      <c r="BK11" s="308">
        <f t="shared" si="20"/>
        <v>0</v>
      </c>
      <c r="BL11" s="83"/>
      <c r="BM11" s="686">
        <f t="shared" si="21"/>
        <v>0</v>
      </c>
      <c r="BN11" s="686">
        <f t="shared" si="10"/>
        <v>0</v>
      </c>
      <c r="BO11" s="686">
        <f t="shared" si="10"/>
        <v>0</v>
      </c>
      <c r="BP11" s="686">
        <f t="shared" si="10"/>
        <v>0</v>
      </c>
      <c r="BQ11" s="686">
        <f t="shared" si="10"/>
        <v>0</v>
      </c>
      <c r="BT11" s="351">
        <f t="shared" si="11"/>
        <v>0</v>
      </c>
      <c r="BU11" s="351">
        <f t="shared" si="12"/>
        <v>0</v>
      </c>
      <c r="BW11" s="124" t="s">
        <v>225</v>
      </c>
      <c r="BX11" s="124">
        <v>400</v>
      </c>
      <c r="BY11" s="124">
        <v>220</v>
      </c>
      <c r="BZ11" s="593">
        <v>0.2</v>
      </c>
      <c r="CA11" s="593">
        <v>0.2</v>
      </c>
      <c r="CB11" s="641">
        <v>60</v>
      </c>
      <c r="CC11" s="393">
        <v>0.14000000000000001</v>
      </c>
      <c r="CD11" s="352">
        <f t="shared" si="0"/>
        <v>56.000000000000007</v>
      </c>
      <c r="CE11" s="9"/>
      <c r="CF11" s="3"/>
    </row>
    <row r="12" spans="1:85" ht="26.25" customHeight="1" x14ac:dyDescent="0.25">
      <c r="A12" s="342"/>
      <c r="B12" s="1215"/>
      <c r="C12" s="600" t="s">
        <v>31</v>
      </c>
      <c r="D12" s="408">
        <f t="shared" si="1"/>
        <v>0</v>
      </c>
      <c r="E12" s="427">
        <f t="shared" si="2"/>
        <v>0</v>
      </c>
      <c r="F12" s="1206"/>
      <c r="G12" s="413">
        <f t="shared" si="3"/>
        <v>0</v>
      </c>
      <c r="H12" s="602" t="s">
        <v>510</v>
      </c>
      <c r="I12" s="427">
        <f t="shared" si="4"/>
        <v>0</v>
      </c>
      <c r="J12" s="430" t="s">
        <v>31</v>
      </c>
      <c r="K12" s="606">
        <f t="shared" si="5"/>
        <v>0</v>
      </c>
      <c r="L12" s="408">
        <f t="shared" si="6"/>
        <v>0</v>
      </c>
      <c r="M12" s="1209"/>
      <c r="N12" s="450" t="s">
        <v>160</v>
      </c>
      <c r="O12" s="427">
        <f t="shared" si="7"/>
        <v>0</v>
      </c>
      <c r="P12" s="1212"/>
      <c r="Q12" s="747">
        <f t="shared" si="13"/>
        <v>0</v>
      </c>
      <c r="R12" s="608">
        <f t="shared" si="8"/>
        <v>0</v>
      </c>
      <c r="S12" s="479">
        <f t="shared" si="9"/>
        <v>0</v>
      </c>
      <c r="T12" s="435">
        <f t="shared" si="14"/>
        <v>0</v>
      </c>
      <c r="V12" s="852">
        <f t="shared" si="15"/>
        <v>0</v>
      </c>
      <c r="W12" s="852" t="str">
        <f t="shared" si="16"/>
        <v>keine</v>
      </c>
      <c r="X12" s="886"/>
      <c r="Y12" s="887" t="s">
        <v>805</v>
      </c>
      <c r="Z12" s="906">
        <v>0</v>
      </c>
      <c r="AA12" s="687">
        <f>VLOOKUP(Y12,Düngemittel!$B$6:$E$64,2,FALSE)*(VLOOKUP(Y12,Düngemittel!$B$6:$E$64,3,FALSE))/100*Z12</f>
        <v>0</v>
      </c>
      <c r="AB12" s="687">
        <f>VLOOKUP(Y12,Düngemittel!$B$6:$E$64,2,FALSE)*Z12</f>
        <v>0</v>
      </c>
      <c r="AC12" s="687">
        <f>VLOOKUP(Y12,Düngemittel!$B$6:$E$64,4,FALSE)*Z12</f>
        <v>0</v>
      </c>
      <c r="AE12" s="886"/>
      <c r="AF12" s="887" t="s">
        <v>805</v>
      </c>
      <c r="AG12" s="906">
        <v>0</v>
      </c>
      <c r="AH12" s="687">
        <f>VLOOKUP(AF12,Düngemittel!$B$6:$E$64,2,FALSE)*(VLOOKUP(AF12,Düngemittel!$B$6:$E$64,3,FALSE))/100*AG12</f>
        <v>0</v>
      </c>
      <c r="AI12" s="687">
        <f>VLOOKUP(AF12,Düngemittel!$B$6:$E$64,2,FALSE)*AG12</f>
        <v>0</v>
      </c>
      <c r="AJ12" s="687">
        <f>VLOOKUP(AF12,Düngemittel!$B$6:$E$64,4,FALSE)*AG12</f>
        <v>0</v>
      </c>
      <c r="AL12" s="886"/>
      <c r="AM12" s="887" t="s">
        <v>805</v>
      </c>
      <c r="AN12" s="906">
        <v>0</v>
      </c>
      <c r="AO12" s="687">
        <f>VLOOKUP(AM12,Düngemittel!$B$6:$E$64,2,FALSE)*(VLOOKUP(AM12,Düngemittel!$B$6:$E$64,3,FALSE))/100*AN12</f>
        <v>0</v>
      </c>
      <c r="AP12" s="687">
        <f>VLOOKUP(AM12,Düngemittel!$B$6:$E$64,2,FALSE)*AN12</f>
        <v>0</v>
      </c>
      <c r="AQ12" s="687">
        <f>VLOOKUP(AM12,Düngemittel!$B$6:$E$64,4,FALSE)*AN12</f>
        <v>0</v>
      </c>
      <c r="AS12" s="886"/>
      <c r="AT12" s="887" t="s">
        <v>805</v>
      </c>
      <c r="AU12" s="906">
        <v>0</v>
      </c>
      <c r="AV12" s="687">
        <f>VLOOKUP(AT12,Düngemittel!$B$6:$E$64,2,FALSE)*(VLOOKUP(AT12,Düngemittel!$B$6:$E$64,3,FALSE))/100*AU12</f>
        <v>0</v>
      </c>
      <c r="AW12" s="687">
        <f>VLOOKUP(AT12,Düngemittel!$B$6:$E$64,2,FALSE)*AU12</f>
        <v>0</v>
      </c>
      <c r="AX12" s="687">
        <f>VLOOKUP(AT12,Düngemittel!$B$6:$E$64,4,FALSE)*AU12</f>
        <v>0</v>
      </c>
      <c r="AZ12" s="886"/>
      <c r="BA12" s="887" t="s">
        <v>805</v>
      </c>
      <c r="BB12" s="906">
        <v>0</v>
      </c>
      <c r="BC12" s="687">
        <f>VLOOKUP(BA12,Düngemittel!$B$6:$E$64,2,FALSE)*(VLOOKUP(BA12,Düngemittel!$B$6:$E$64,3,FALSE))/100*BB12</f>
        <v>0</v>
      </c>
      <c r="BD12" s="687">
        <f>VLOOKUP(BA12,Düngemittel!$B$6:$E$64,2,FALSE)*BB12</f>
        <v>0</v>
      </c>
      <c r="BE12" s="687">
        <f>VLOOKUP(BA12,Düngemittel!$B$6:$E$64,4,FALSE)*BB12</f>
        <v>0</v>
      </c>
      <c r="BG12" s="853">
        <f t="shared" si="17"/>
        <v>0</v>
      </c>
      <c r="BH12" s="308">
        <f t="shared" si="18"/>
        <v>0</v>
      </c>
      <c r="BI12" s="853">
        <f t="shared" si="18"/>
        <v>0</v>
      </c>
      <c r="BJ12" s="777">
        <f t="shared" si="19"/>
        <v>0</v>
      </c>
      <c r="BK12" s="308">
        <f t="shared" si="20"/>
        <v>0</v>
      </c>
      <c r="BL12" s="83"/>
      <c r="BM12" s="686">
        <f t="shared" si="21"/>
        <v>0</v>
      </c>
      <c r="BN12" s="686">
        <f t="shared" si="10"/>
        <v>0</v>
      </c>
      <c r="BO12" s="686">
        <f t="shared" si="10"/>
        <v>0</v>
      </c>
      <c r="BP12" s="686">
        <f t="shared" si="10"/>
        <v>0</v>
      </c>
      <c r="BQ12" s="686">
        <f t="shared" si="10"/>
        <v>0</v>
      </c>
      <c r="BT12" s="351">
        <f t="shared" si="11"/>
        <v>0</v>
      </c>
      <c r="BU12" s="351">
        <f t="shared" si="12"/>
        <v>0</v>
      </c>
      <c r="BW12" s="580" t="s">
        <v>691</v>
      </c>
      <c r="BX12" s="580">
        <v>350</v>
      </c>
      <c r="BY12" s="580">
        <v>190</v>
      </c>
      <c r="BZ12" s="580">
        <v>0.2</v>
      </c>
      <c r="CA12" s="580">
        <v>0.3</v>
      </c>
      <c r="CB12" s="641">
        <v>90</v>
      </c>
      <c r="CC12" s="393">
        <v>0.28000000000000003</v>
      </c>
      <c r="CD12" s="352">
        <f t="shared" si="0"/>
        <v>98.000000000000014</v>
      </c>
      <c r="CE12" s="9"/>
      <c r="CF12" s="3"/>
    </row>
    <row r="13" spans="1:85" ht="26.25" customHeight="1" x14ac:dyDescent="0.25">
      <c r="A13" s="342"/>
      <c r="B13" s="1215"/>
      <c r="C13" s="600" t="s">
        <v>31</v>
      </c>
      <c r="D13" s="408">
        <f t="shared" si="1"/>
        <v>0</v>
      </c>
      <c r="E13" s="427">
        <f t="shared" si="2"/>
        <v>0</v>
      </c>
      <c r="F13" s="1206"/>
      <c r="G13" s="413">
        <f t="shared" si="3"/>
        <v>0</v>
      </c>
      <c r="H13" s="602" t="s">
        <v>510</v>
      </c>
      <c r="I13" s="427">
        <f t="shared" si="4"/>
        <v>0</v>
      </c>
      <c r="J13" s="430" t="s">
        <v>31</v>
      </c>
      <c r="K13" s="606">
        <f t="shared" si="5"/>
        <v>0</v>
      </c>
      <c r="L13" s="408">
        <f t="shared" si="6"/>
        <v>0</v>
      </c>
      <c r="M13" s="1209"/>
      <c r="N13" s="450" t="s">
        <v>160</v>
      </c>
      <c r="O13" s="427">
        <f t="shared" si="7"/>
        <v>0</v>
      </c>
      <c r="P13" s="1212"/>
      <c r="Q13" s="747">
        <f t="shared" si="13"/>
        <v>0</v>
      </c>
      <c r="R13" s="608">
        <f t="shared" si="8"/>
        <v>0</v>
      </c>
      <c r="S13" s="479">
        <f t="shared" si="9"/>
        <v>0</v>
      </c>
      <c r="T13" s="435">
        <f t="shared" si="14"/>
        <v>0</v>
      </c>
      <c r="V13" s="852">
        <f t="shared" si="15"/>
        <v>0</v>
      </c>
      <c r="W13" s="852" t="str">
        <f t="shared" si="16"/>
        <v>keine</v>
      </c>
      <c r="X13" s="886"/>
      <c r="Y13" s="887" t="s">
        <v>805</v>
      </c>
      <c r="Z13" s="906">
        <v>0</v>
      </c>
      <c r="AA13" s="687">
        <f>VLOOKUP(Y13,Düngemittel!$B$6:$E$64,2,FALSE)*(VLOOKUP(Y13,Düngemittel!$B$6:$E$64,3,FALSE))/100*Z13</f>
        <v>0</v>
      </c>
      <c r="AB13" s="687">
        <f>VLOOKUP(Y13,Düngemittel!$B$6:$E$64,2,FALSE)*Z13</f>
        <v>0</v>
      </c>
      <c r="AC13" s="687">
        <f>VLOOKUP(Y13,Düngemittel!$B$6:$E$64,4,FALSE)*Z13</f>
        <v>0</v>
      </c>
      <c r="AE13" s="886"/>
      <c r="AF13" s="887" t="s">
        <v>805</v>
      </c>
      <c r="AG13" s="906">
        <v>0</v>
      </c>
      <c r="AH13" s="687">
        <f>VLOOKUP(AF13,Düngemittel!$B$6:$E$64,2,FALSE)*(VLOOKUP(AF13,Düngemittel!$B$6:$E$64,3,FALSE))/100*AG13</f>
        <v>0</v>
      </c>
      <c r="AI13" s="687">
        <f>VLOOKUP(AF13,Düngemittel!$B$6:$E$64,2,FALSE)*AG13</f>
        <v>0</v>
      </c>
      <c r="AJ13" s="687">
        <f>VLOOKUP(AF13,Düngemittel!$B$6:$E$64,4,FALSE)*AG13</f>
        <v>0</v>
      </c>
      <c r="AL13" s="886"/>
      <c r="AM13" s="887" t="s">
        <v>805</v>
      </c>
      <c r="AN13" s="906">
        <v>0</v>
      </c>
      <c r="AO13" s="687">
        <f>VLOOKUP(AM13,Düngemittel!$B$6:$E$64,2,FALSE)*(VLOOKUP(AM13,Düngemittel!$B$6:$E$64,3,FALSE))/100*AN13</f>
        <v>0</v>
      </c>
      <c r="AP13" s="687">
        <f>VLOOKUP(AM13,Düngemittel!$B$6:$E$64,2,FALSE)*AN13</f>
        <v>0</v>
      </c>
      <c r="AQ13" s="687">
        <f>VLOOKUP(AM13,Düngemittel!$B$6:$E$64,4,FALSE)*AN13</f>
        <v>0</v>
      </c>
      <c r="AS13" s="886"/>
      <c r="AT13" s="887" t="s">
        <v>805</v>
      </c>
      <c r="AU13" s="906">
        <v>0</v>
      </c>
      <c r="AV13" s="687">
        <f>VLOOKUP(AT13,Düngemittel!$B$6:$E$64,2,FALSE)*(VLOOKUP(AT13,Düngemittel!$B$6:$E$64,3,FALSE))/100*AU13</f>
        <v>0</v>
      </c>
      <c r="AW13" s="687">
        <f>VLOOKUP(AT13,Düngemittel!$B$6:$E$64,2,FALSE)*AU13</f>
        <v>0</v>
      </c>
      <c r="AX13" s="687">
        <f>VLOOKUP(AT13,Düngemittel!$B$6:$E$64,4,FALSE)*AU13</f>
        <v>0</v>
      </c>
      <c r="AZ13" s="886"/>
      <c r="BA13" s="887" t="s">
        <v>805</v>
      </c>
      <c r="BB13" s="906">
        <v>0</v>
      </c>
      <c r="BC13" s="687">
        <f>VLOOKUP(BA13,Düngemittel!$B$6:$E$64,2,FALSE)*(VLOOKUP(BA13,Düngemittel!$B$6:$E$64,3,FALSE))/100*BB13</f>
        <v>0</v>
      </c>
      <c r="BD13" s="687">
        <f>VLOOKUP(BA13,Düngemittel!$B$6:$E$64,2,FALSE)*BB13</f>
        <v>0</v>
      </c>
      <c r="BE13" s="687">
        <f>VLOOKUP(BA13,Düngemittel!$B$6:$E$64,4,FALSE)*BB13</f>
        <v>0</v>
      </c>
      <c r="BG13" s="853">
        <f t="shared" si="17"/>
        <v>0</v>
      </c>
      <c r="BH13" s="308">
        <f t="shared" si="18"/>
        <v>0</v>
      </c>
      <c r="BI13" s="853">
        <f t="shared" si="18"/>
        <v>0</v>
      </c>
      <c r="BJ13" s="777">
        <f t="shared" si="19"/>
        <v>0</v>
      </c>
      <c r="BK13" s="308">
        <f t="shared" si="20"/>
        <v>0</v>
      </c>
      <c r="BL13" s="83"/>
      <c r="BM13" s="686">
        <f t="shared" si="21"/>
        <v>0</v>
      </c>
      <c r="BN13" s="686">
        <f t="shared" si="10"/>
        <v>0</v>
      </c>
      <c r="BO13" s="686">
        <f t="shared" si="10"/>
        <v>0</v>
      </c>
      <c r="BP13" s="686">
        <f t="shared" si="10"/>
        <v>0</v>
      </c>
      <c r="BQ13" s="686">
        <f t="shared" si="10"/>
        <v>0</v>
      </c>
      <c r="BT13" s="351">
        <f t="shared" si="11"/>
        <v>0</v>
      </c>
      <c r="BU13" s="351">
        <f t="shared" si="12"/>
        <v>0</v>
      </c>
      <c r="BW13" s="580" t="s">
        <v>692</v>
      </c>
      <c r="BX13" s="580">
        <v>350</v>
      </c>
      <c r="BY13" s="580">
        <v>100</v>
      </c>
      <c r="BZ13" s="580">
        <v>0.2</v>
      </c>
      <c r="CA13" s="580">
        <v>0.3</v>
      </c>
      <c r="CB13" s="641">
        <v>60</v>
      </c>
      <c r="CC13" s="393">
        <v>0.15</v>
      </c>
      <c r="CD13" s="352">
        <f t="shared" si="0"/>
        <v>52.5</v>
      </c>
      <c r="CE13" s="9"/>
      <c r="CF13" s="3"/>
    </row>
    <row r="14" spans="1:85" ht="26.25" customHeight="1" x14ac:dyDescent="0.25">
      <c r="A14" s="342"/>
      <c r="B14" s="1215"/>
      <c r="C14" s="600" t="s">
        <v>31</v>
      </c>
      <c r="D14" s="408">
        <f t="shared" si="1"/>
        <v>0</v>
      </c>
      <c r="E14" s="427">
        <f t="shared" si="2"/>
        <v>0</v>
      </c>
      <c r="F14" s="1206"/>
      <c r="G14" s="413">
        <f t="shared" si="3"/>
        <v>0</v>
      </c>
      <c r="H14" s="602" t="s">
        <v>510</v>
      </c>
      <c r="I14" s="427">
        <f t="shared" si="4"/>
        <v>0</v>
      </c>
      <c r="J14" s="430" t="s">
        <v>31</v>
      </c>
      <c r="K14" s="606">
        <f t="shared" si="5"/>
        <v>0</v>
      </c>
      <c r="L14" s="408">
        <f t="shared" si="6"/>
        <v>0</v>
      </c>
      <c r="M14" s="1209"/>
      <c r="N14" s="450" t="s">
        <v>160</v>
      </c>
      <c r="O14" s="427">
        <f t="shared" si="7"/>
        <v>0</v>
      </c>
      <c r="P14" s="1212"/>
      <c r="Q14" s="747">
        <f t="shared" si="13"/>
        <v>0</v>
      </c>
      <c r="R14" s="608">
        <f t="shared" si="8"/>
        <v>0</v>
      </c>
      <c r="S14" s="479">
        <f t="shared" si="9"/>
        <v>0</v>
      </c>
      <c r="T14" s="435">
        <f t="shared" si="14"/>
        <v>0</v>
      </c>
      <c r="V14" s="852">
        <f t="shared" si="15"/>
        <v>0</v>
      </c>
      <c r="W14" s="852" t="str">
        <f t="shared" si="16"/>
        <v>keine</v>
      </c>
      <c r="X14" s="886"/>
      <c r="Y14" s="887" t="s">
        <v>805</v>
      </c>
      <c r="Z14" s="906">
        <v>0</v>
      </c>
      <c r="AA14" s="687">
        <f>VLOOKUP(Y14,Düngemittel!$B$6:$E$64,2,FALSE)*(VLOOKUP(Y14,Düngemittel!$B$6:$E$64,3,FALSE))/100*Z14</f>
        <v>0</v>
      </c>
      <c r="AB14" s="687">
        <f>VLOOKUP(Y14,Düngemittel!$B$6:$E$64,2,FALSE)*Z14</f>
        <v>0</v>
      </c>
      <c r="AC14" s="687">
        <f>VLOOKUP(Y14,Düngemittel!$B$6:$E$64,4,FALSE)*Z14</f>
        <v>0</v>
      </c>
      <c r="AE14" s="886"/>
      <c r="AF14" s="887" t="s">
        <v>805</v>
      </c>
      <c r="AG14" s="906">
        <v>0</v>
      </c>
      <c r="AH14" s="687">
        <f>VLOOKUP(AF14,Düngemittel!$B$6:$E$64,2,FALSE)*(VLOOKUP(AF14,Düngemittel!$B$6:$E$64,3,FALSE))/100*AG14</f>
        <v>0</v>
      </c>
      <c r="AI14" s="687">
        <f>VLOOKUP(AF14,Düngemittel!$B$6:$E$64,2,FALSE)*AG14</f>
        <v>0</v>
      </c>
      <c r="AJ14" s="687">
        <f>VLOOKUP(AF14,Düngemittel!$B$6:$E$64,4,FALSE)*AG14</f>
        <v>0</v>
      </c>
      <c r="AL14" s="886"/>
      <c r="AM14" s="887" t="s">
        <v>805</v>
      </c>
      <c r="AN14" s="906">
        <v>0</v>
      </c>
      <c r="AO14" s="687">
        <f>VLOOKUP(AM14,Düngemittel!$B$6:$E$64,2,FALSE)*(VLOOKUP(AM14,Düngemittel!$B$6:$E$64,3,FALSE))/100*AN14</f>
        <v>0</v>
      </c>
      <c r="AP14" s="687">
        <f>VLOOKUP(AM14,Düngemittel!$B$6:$E$64,2,FALSE)*AN14</f>
        <v>0</v>
      </c>
      <c r="AQ14" s="687">
        <f>VLOOKUP(AM14,Düngemittel!$B$6:$E$64,4,FALSE)*AN14</f>
        <v>0</v>
      </c>
      <c r="AS14" s="886"/>
      <c r="AT14" s="887" t="s">
        <v>805</v>
      </c>
      <c r="AU14" s="906">
        <v>0</v>
      </c>
      <c r="AV14" s="687">
        <f>VLOOKUP(AT14,Düngemittel!$B$6:$E$64,2,FALSE)*(VLOOKUP(AT14,Düngemittel!$B$6:$E$64,3,FALSE))/100*AU14</f>
        <v>0</v>
      </c>
      <c r="AW14" s="687">
        <f>VLOOKUP(AT14,Düngemittel!$B$6:$E$64,2,FALSE)*AU14</f>
        <v>0</v>
      </c>
      <c r="AX14" s="687">
        <f>VLOOKUP(AT14,Düngemittel!$B$6:$E$64,4,FALSE)*AU14</f>
        <v>0</v>
      </c>
      <c r="AZ14" s="886"/>
      <c r="BA14" s="887" t="s">
        <v>805</v>
      </c>
      <c r="BB14" s="906">
        <v>0</v>
      </c>
      <c r="BC14" s="687">
        <f>VLOOKUP(BA14,Düngemittel!$B$6:$E$64,2,FALSE)*(VLOOKUP(BA14,Düngemittel!$B$6:$E$64,3,FALSE))/100*BB14</f>
        <v>0</v>
      </c>
      <c r="BD14" s="687">
        <f>VLOOKUP(BA14,Düngemittel!$B$6:$E$64,2,FALSE)*BB14</f>
        <v>0</v>
      </c>
      <c r="BE14" s="687">
        <f>VLOOKUP(BA14,Düngemittel!$B$6:$E$64,4,FALSE)*BB14</f>
        <v>0</v>
      </c>
      <c r="BG14" s="853">
        <f t="shared" si="17"/>
        <v>0</v>
      </c>
      <c r="BH14" s="308">
        <f t="shared" si="18"/>
        <v>0</v>
      </c>
      <c r="BI14" s="853">
        <f t="shared" si="18"/>
        <v>0</v>
      </c>
      <c r="BJ14" s="777">
        <f t="shared" si="19"/>
        <v>0</v>
      </c>
      <c r="BK14" s="308">
        <f t="shared" si="20"/>
        <v>0</v>
      </c>
      <c r="BL14" s="83"/>
      <c r="BM14" s="686">
        <f t="shared" si="21"/>
        <v>0</v>
      </c>
      <c r="BN14" s="686">
        <f t="shared" si="10"/>
        <v>0</v>
      </c>
      <c r="BO14" s="686">
        <f t="shared" si="10"/>
        <v>0</v>
      </c>
      <c r="BP14" s="686">
        <f t="shared" si="10"/>
        <v>0</v>
      </c>
      <c r="BQ14" s="686">
        <f t="shared" si="10"/>
        <v>0</v>
      </c>
      <c r="BT14" s="351">
        <f t="shared" si="11"/>
        <v>0</v>
      </c>
      <c r="BU14" s="351">
        <f t="shared" si="12"/>
        <v>0</v>
      </c>
      <c r="BW14" s="580" t="s">
        <v>693</v>
      </c>
      <c r="BX14" s="580">
        <v>350</v>
      </c>
      <c r="BY14" s="580">
        <v>180</v>
      </c>
      <c r="BZ14" s="580">
        <v>0.2</v>
      </c>
      <c r="CA14" s="580">
        <v>0.3</v>
      </c>
      <c r="CB14" s="641">
        <v>60</v>
      </c>
      <c r="CC14" s="393">
        <v>0.15</v>
      </c>
      <c r="CD14" s="352">
        <f t="shared" si="0"/>
        <v>52.5</v>
      </c>
      <c r="CE14" s="9"/>
      <c r="CF14"/>
    </row>
    <row r="15" spans="1:85" ht="26.25" customHeight="1" x14ac:dyDescent="0.25">
      <c r="A15" s="342"/>
      <c r="B15" s="1215"/>
      <c r="C15" s="600" t="s">
        <v>31</v>
      </c>
      <c r="D15" s="408">
        <f t="shared" si="1"/>
        <v>0</v>
      </c>
      <c r="E15" s="427">
        <f t="shared" si="2"/>
        <v>0</v>
      </c>
      <c r="F15" s="1206"/>
      <c r="G15" s="413">
        <f t="shared" si="3"/>
        <v>0</v>
      </c>
      <c r="H15" s="602" t="s">
        <v>510</v>
      </c>
      <c r="I15" s="427">
        <f t="shared" si="4"/>
        <v>0</v>
      </c>
      <c r="J15" s="430" t="s">
        <v>31</v>
      </c>
      <c r="K15" s="606">
        <f t="shared" si="5"/>
        <v>0</v>
      </c>
      <c r="L15" s="408">
        <f t="shared" si="6"/>
        <v>0</v>
      </c>
      <c r="M15" s="1209"/>
      <c r="N15" s="450" t="s">
        <v>160</v>
      </c>
      <c r="O15" s="427">
        <f t="shared" si="7"/>
        <v>0</v>
      </c>
      <c r="P15" s="1212"/>
      <c r="Q15" s="747">
        <f t="shared" si="13"/>
        <v>0</v>
      </c>
      <c r="R15" s="608">
        <f t="shared" si="8"/>
        <v>0</v>
      </c>
      <c r="S15" s="479">
        <f t="shared" si="9"/>
        <v>0</v>
      </c>
      <c r="T15" s="435">
        <f t="shared" si="14"/>
        <v>0</v>
      </c>
      <c r="V15" s="852">
        <f t="shared" si="15"/>
        <v>0</v>
      </c>
      <c r="W15" s="852" t="str">
        <f t="shared" si="16"/>
        <v>keine</v>
      </c>
      <c r="X15" s="886"/>
      <c r="Y15" s="887" t="s">
        <v>805</v>
      </c>
      <c r="Z15" s="906">
        <v>0</v>
      </c>
      <c r="AA15" s="687">
        <f>VLOOKUP(Y15,Düngemittel!$B$6:$E$64,2,FALSE)*(VLOOKUP(Y15,Düngemittel!$B$6:$E$64,3,FALSE))/100*Z15</f>
        <v>0</v>
      </c>
      <c r="AB15" s="687">
        <f>VLOOKUP(Y15,Düngemittel!$B$6:$E$64,2,FALSE)*Z15</f>
        <v>0</v>
      </c>
      <c r="AC15" s="687">
        <f>VLOOKUP(Y15,Düngemittel!$B$6:$E$64,4,FALSE)*Z15</f>
        <v>0</v>
      </c>
      <c r="AE15" s="886"/>
      <c r="AF15" s="887" t="s">
        <v>805</v>
      </c>
      <c r="AG15" s="906">
        <v>0</v>
      </c>
      <c r="AH15" s="687">
        <f>VLOOKUP(AF15,Düngemittel!$B$6:$E$64,2,FALSE)*(VLOOKUP(AF15,Düngemittel!$B$6:$E$64,3,FALSE))/100*AG15</f>
        <v>0</v>
      </c>
      <c r="AI15" s="687">
        <f>VLOOKUP(AF15,Düngemittel!$B$6:$E$64,2,FALSE)*AG15</f>
        <v>0</v>
      </c>
      <c r="AJ15" s="687">
        <f>VLOOKUP(AF15,Düngemittel!$B$6:$E$64,4,FALSE)*AG15</f>
        <v>0</v>
      </c>
      <c r="AL15" s="886"/>
      <c r="AM15" s="887" t="s">
        <v>805</v>
      </c>
      <c r="AN15" s="906">
        <v>0</v>
      </c>
      <c r="AO15" s="687">
        <f>VLOOKUP(AM15,Düngemittel!$B$6:$E$64,2,FALSE)*(VLOOKUP(AM15,Düngemittel!$B$6:$E$64,3,FALSE))/100*AN15</f>
        <v>0</v>
      </c>
      <c r="AP15" s="687">
        <f>VLOOKUP(AM15,Düngemittel!$B$6:$E$64,2,FALSE)*AN15</f>
        <v>0</v>
      </c>
      <c r="AQ15" s="687">
        <f>VLOOKUP(AM15,Düngemittel!$B$6:$E$64,4,FALSE)*AN15</f>
        <v>0</v>
      </c>
      <c r="AS15" s="886"/>
      <c r="AT15" s="887" t="s">
        <v>805</v>
      </c>
      <c r="AU15" s="906">
        <v>0</v>
      </c>
      <c r="AV15" s="687">
        <f>VLOOKUP(AT15,Düngemittel!$B$6:$E$64,2,FALSE)*(VLOOKUP(AT15,Düngemittel!$B$6:$E$64,3,FALSE))/100*AU15</f>
        <v>0</v>
      </c>
      <c r="AW15" s="687">
        <f>VLOOKUP(AT15,Düngemittel!$B$6:$E$64,2,FALSE)*AU15</f>
        <v>0</v>
      </c>
      <c r="AX15" s="687">
        <f>VLOOKUP(AT15,Düngemittel!$B$6:$E$64,4,FALSE)*AU15</f>
        <v>0</v>
      </c>
      <c r="AZ15" s="886"/>
      <c r="BA15" s="887" t="s">
        <v>805</v>
      </c>
      <c r="BB15" s="906">
        <v>0</v>
      </c>
      <c r="BC15" s="687">
        <f>VLOOKUP(BA15,Düngemittel!$B$6:$E$64,2,FALSE)*(VLOOKUP(BA15,Düngemittel!$B$6:$E$64,3,FALSE))/100*BB15</f>
        <v>0</v>
      </c>
      <c r="BD15" s="687">
        <f>VLOOKUP(BA15,Düngemittel!$B$6:$E$64,2,FALSE)*BB15</f>
        <v>0</v>
      </c>
      <c r="BE15" s="687">
        <f>VLOOKUP(BA15,Düngemittel!$B$6:$E$64,4,FALSE)*BB15</f>
        <v>0</v>
      </c>
      <c r="BG15" s="853">
        <f t="shared" si="17"/>
        <v>0</v>
      </c>
      <c r="BH15" s="308">
        <f t="shared" si="18"/>
        <v>0</v>
      </c>
      <c r="BI15" s="853">
        <f t="shared" si="18"/>
        <v>0</v>
      </c>
      <c r="BJ15" s="777">
        <f t="shared" si="19"/>
        <v>0</v>
      </c>
      <c r="BK15" s="308">
        <f t="shared" si="20"/>
        <v>0</v>
      </c>
      <c r="BL15" s="83"/>
      <c r="BM15" s="686">
        <f t="shared" si="21"/>
        <v>0</v>
      </c>
      <c r="BN15" s="686">
        <f t="shared" si="10"/>
        <v>0</v>
      </c>
      <c r="BO15" s="686">
        <f t="shared" si="10"/>
        <v>0</v>
      </c>
      <c r="BP15" s="686">
        <f t="shared" si="10"/>
        <v>0</v>
      </c>
      <c r="BQ15" s="686">
        <f t="shared" si="10"/>
        <v>0</v>
      </c>
      <c r="BT15" s="351">
        <f t="shared" si="11"/>
        <v>0</v>
      </c>
      <c r="BU15" s="351">
        <f t="shared" si="12"/>
        <v>0</v>
      </c>
      <c r="BW15" s="240" t="s">
        <v>701</v>
      </c>
      <c r="BX15" s="240">
        <v>650</v>
      </c>
      <c r="BY15" s="594">
        <v>190</v>
      </c>
      <c r="BZ15" s="595">
        <v>0.2</v>
      </c>
      <c r="CA15" s="595">
        <v>0.24</v>
      </c>
      <c r="CB15" s="641">
        <v>90</v>
      </c>
      <c r="CC15" s="393">
        <v>0.09</v>
      </c>
      <c r="CD15" s="352">
        <f t="shared" si="0"/>
        <v>58.5</v>
      </c>
    </row>
    <row r="16" spans="1:85" ht="26.25" customHeight="1" x14ac:dyDescent="0.25">
      <c r="A16" s="342"/>
      <c r="B16" s="1215"/>
      <c r="C16" s="600" t="s">
        <v>31</v>
      </c>
      <c r="D16" s="408">
        <f t="shared" si="1"/>
        <v>0</v>
      </c>
      <c r="E16" s="427">
        <f t="shared" si="2"/>
        <v>0</v>
      </c>
      <c r="F16" s="1206"/>
      <c r="G16" s="413">
        <f t="shared" si="3"/>
        <v>0</v>
      </c>
      <c r="H16" s="602" t="s">
        <v>510</v>
      </c>
      <c r="I16" s="427">
        <f t="shared" si="4"/>
        <v>0</v>
      </c>
      <c r="J16" s="430" t="s">
        <v>31</v>
      </c>
      <c r="K16" s="606">
        <f t="shared" si="5"/>
        <v>0</v>
      </c>
      <c r="L16" s="408">
        <f t="shared" si="6"/>
        <v>0</v>
      </c>
      <c r="M16" s="1209"/>
      <c r="N16" s="450" t="s">
        <v>160</v>
      </c>
      <c r="O16" s="427">
        <f t="shared" si="7"/>
        <v>0</v>
      </c>
      <c r="P16" s="1212"/>
      <c r="Q16" s="747">
        <f t="shared" si="13"/>
        <v>0</v>
      </c>
      <c r="R16" s="608">
        <f t="shared" si="8"/>
        <v>0</v>
      </c>
      <c r="S16" s="479">
        <f t="shared" si="9"/>
        <v>0</v>
      </c>
      <c r="T16" s="435">
        <f t="shared" si="14"/>
        <v>0</v>
      </c>
      <c r="V16" s="852">
        <f t="shared" si="15"/>
        <v>0</v>
      </c>
      <c r="W16" s="852" t="str">
        <f t="shared" si="16"/>
        <v>keine</v>
      </c>
      <c r="X16" s="886"/>
      <c r="Y16" s="887" t="s">
        <v>805</v>
      </c>
      <c r="Z16" s="906">
        <v>0</v>
      </c>
      <c r="AA16" s="687">
        <f>VLOOKUP(Y16,Düngemittel!$B$6:$E$64,2,FALSE)*(VLOOKUP(Y16,Düngemittel!$B$6:$E$64,3,FALSE))/100*Z16</f>
        <v>0</v>
      </c>
      <c r="AB16" s="687">
        <f>VLOOKUP(Y16,Düngemittel!$B$6:$E$64,2,FALSE)*Z16</f>
        <v>0</v>
      </c>
      <c r="AC16" s="687">
        <f>VLOOKUP(Y16,Düngemittel!$B$6:$E$64,4,FALSE)*Z16</f>
        <v>0</v>
      </c>
      <c r="AE16" s="886"/>
      <c r="AF16" s="887" t="s">
        <v>805</v>
      </c>
      <c r="AG16" s="906">
        <v>0</v>
      </c>
      <c r="AH16" s="687">
        <f>VLOOKUP(AF16,Düngemittel!$B$6:$E$64,2,FALSE)*(VLOOKUP(AF16,Düngemittel!$B$6:$E$64,3,FALSE))/100*AG16</f>
        <v>0</v>
      </c>
      <c r="AI16" s="687">
        <f>VLOOKUP(AF16,Düngemittel!$B$6:$E$64,2,FALSE)*AG16</f>
        <v>0</v>
      </c>
      <c r="AJ16" s="687">
        <f>VLOOKUP(AF16,Düngemittel!$B$6:$E$64,4,FALSE)*AG16</f>
        <v>0</v>
      </c>
      <c r="AL16" s="886"/>
      <c r="AM16" s="887" t="s">
        <v>805</v>
      </c>
      <c r="AN16" s="906">
        <v>0</v>
      </c>
      <c r="AO16" s="687">
        <f>VLOOKUP(AM16,Düngemittel!$B$6:$E$64,2,FALSE)*(VLOOKUP(AM16,Düngemittel!$B$6:$E$64,3,FALSE))/100*AN16</f>
        <v>0</v>
      </c>
      <c r="AP16" s="687">
        <f>VLOOKUP(AM16,Düngemittel!$B$6:$E$64,2,FALSE)*AN16</f>
        <v>0</v>
      </c>
      <c r="AQ16" s="687">
        <f>VLOOKUP(AM16,Düngemittel!$B$6:$E$64,4,FALSE)*AN16</f>
        <v>0</v>
      </c>
      <c r="AS16" s="886"/>
      <c r="AT16" s="887" t="s">
        <v>805</v>
      </c>
      <c r="AU16" s="906">
        <v>0</v>
      </c>
      <c r="AV16" s="687">
        <f>VLOOKUP(AT16,Düngemittel!$B$6:$E$64,2,FALSE)*(VLOOKUP(AT16,Düngemittel!$B$6:$E$64,3,FALSE))/100*AU16</f>
        <v>0</v>
      </c>
      <c r="AW16" s="687">
        <f>VLOOKUP(AT16,Düngemittel!$B$6:$E$64,2,FALSE)*AU16</f>
        <v>0</v>
      </c>
      <c r="AX16" s="687">
        <f>VLOOKUP(AT16,Düngemittel!$B$6:$E$64,4,FALSE)*AU16</f>
        <v>0</v>
      </c>
      <c r="AZ16" s="886"/>
      <c r="BA16" s="887" t="s">
        <v>805</v>
      </c>
      <c r="BB16" s="906">
        <v>0</v>
      </c>
      <c r="BC16" s="687">
        <f>VLOOKUP(BA16,Düngemittel!$B$6:$E$64,2,FALSE)*(VLOOKUP(BA16,Düngemittel!$B$6:$E$64,3,FALSE))/100*BB16</f>
        <v>0</v>
      </c>
      <c r="BD16" s="687">
        <f>VLOOKUP(BA16,Düngemittel!$B$6:$E$64,2,FALSE)*BB16</f>
        <v>0</v>
      </c>
      <c r="BE16" s="687">
        <f>VLOOKUP(BA16,Düngemittel!$B$6:$E$64,4,FALSE)*BB16</f>
        <v>0</v>
      </c>
      <c r="BG16" s="853">
        <f t="shared" si="17"/>
        <v>0</v>
      </c>
      <c r="BH16" s="308">
        <f t="shared" si="18"/>
        <v>0</v>
      </c>
      <c r="BI16" s="853">
        <f t="shared" si="18"/>
        <v>0</v>
      </c>
      <c r="BJ16" s="777">
        <f t="shared" si="19"/>
        <v>0</v>
      </c>
      <c r="BK16" s="308">
        <f t="shared" si="20"/>
        <v>0</v>
      </c>
      <c r="BL16" s="83"/>
      <c r="BM16" s="686">
        <f t="shared" si="21"/>
        <v>0</v>
      </c>
      <c r="BN16" s="686">
        <f t="shared" si="10"/>
        <v>0</v>
      </c>
      <c r="BO16" s="686">
        <f t="shared" si="10"/>
        <v>0</v>
      </c>
      <c r="BP16" s="686">
        <f t="shared" si="10"/>
        <v>0</v>
      </c>
      <c r="BQ16" s="686">
        <f t="shared" si="10"/>
        <v>0</v>
      </c>
      <c r="BT16" s="351">
        <f t="shared" si="11"/>
        <v>0</v>
      </c>
      <c r="BU16" s="351">
        <f t="shared" si="12"/>
        <v>0</v>
      </c>
      <c r="BW16" s="124" t="s">
        <v>16</v>
      </c>
      <c r="BX16" s="124">
        <v>55</v>
      </c>
      <c r="BY16" s="124">
        <v>130</v>
      </c>
      <c r="BZ16" s="124">
        <v>1</v>
      </c>
      <c r="CA16" s="124">
        <v>1.5</v>
      </c>
      <c r="CB16" s="641">
        <v>60</v>
      </c>
      <c r="CC16" s="393">
        <v>0.8</v>
      </c>
      <c r="CD16" s="352">
        <f>BX16*CC16</f>
        <v>44</v>
      </c>
      <c r="CE16" s="32"/>
      <c r="CF16" s="3"/>
    </row>
    <row r="17" spans="1:84" ht="26.25" customHeight="1" x14ac:dyDescent="0.25">
      <c r="A17" s="342"/>
      <c r="B17" s="1215"/>
      <c r="C17" s="600" t="s">
        <v>31</v>
      </c>
      <c r="D17" s="408">
        <f t="shared" si="1"/>
        <v>0</v>
      </c>
      <c r="E17" s="427">
        <f t="shared" si="2"/>
        <v>0</v>
      </c>
      <c r="F17" s="1206"/>
      <c r="G17" s="413">
        <f t="shared" si="3"/>
        <v>0</v>
      </c>
      <c r="H17" s="602" t="s">
        <v>510</v>
      </c>
      <c r="I17" s="427">
        <f t="shared" si="4"/>
        <v>0</v>
      </c>
      <c r="J17" s="430" t="s">
        <v>31</v>
      </c>
      <c r="K17" s="606">
        <f t="shared" si="5"/>
        <v>0</v>
      </c>
      <c r="L17" s="408">
        <f t="shared" si="6"/>
        <v>0</v>
      </c>
      <c r="M17" s="1209"/>
      <c r="N17" s="450" t="s">
        <v>160</v>
      </c>
      <c r="O17" s="427">
        <f t="shared" si="7"/>
        <v>0</v>
      </c>
      <c r="P17" s="1212"/>
      <c r="Q17" s="747">
        <f t="shared" si="13"/>
        <v>0</v>
      </c>
      <c r="R17" s="608">
        <f t="shared" si="8"/>
        <v>0</v>
      </c>
      <c r="S17" s="479">
        <f t="shared" si="9"/>
        <v>0</v>
      </c>
      <c r="T17" s="435">
        <f t="shared" si="14"/>
        <v>0</v>
      </c>
      <c r="V17" s="852">
        <f t="shared" si="15"/>
        <v>0</v>
      </c>
      <c r="W17" s="852" t="str">
        <f t="shared" si="16"/>
        <v>keine</v>
      </c>
      <c r="X17" s="886"/>
      <c r="Y17" s="887" t="s">
        <v>805</v>
      </c>
      <c r="Z17" s="906">
        <v>0</v>
      </c>
      <c r="AA17" s="687">
        <f>VLOOKUP(Y17,Düngemittel!$B$6:$E$64,2,FALSE)*(VLOOKUP(Y17,Düngemittel!$B$6:$E$64,3,FALSE))/100*Z17</f>
        <v>0</v>
      </c>
      <c r="AB17" s="687">
        <f>VLOOKUP(Y17,Düngemittel!$B$6:$E$64,2,FALSE)*Z17</f>
        <v>0</v>
      </c>
      <c r="AC17" s="687">
        <f>VLOOKUP(Y17,Düngemittel!$B$6:$E$64,4,FALSE)*Z17</f>
        <v>0</v>
      </c>
      <c r="AE17" s="886"/>
      <c r="AF17" s="887" t="s">
        <v>805</v>
      </c>
      <c r="AG17" s="906">
        <v>0</v>
      </c>
      <c r="AH17" s="687">
        <f>VLOOKUP(AF17,Düngemittel!$B$6:$E$64,2,FALSE)*(VLOOKUP(AF17,Düngemittel!$B$6:$E$64,3,FALSE))/100*AG17</f>
        <v>0</v>
      </c>
      <c r="AI17" s="687">
        <f>VLOOKUP(AF17,Düngemittel!$B$6:$E$64,2,FALSE)*AG17</f>
        <v>0</v>
      </c>
      <c r="AJ17" s="687">
        <f>VLOOKUP(AF17,Düngemittel!$B$6:$E$64,4,FALSE)*AG17</f>
        <v>0</v>
      </c>
      <c r="AL17" s="886"/>
      <c r="AM17" s="887" t="s">
        <v>805</v>
      </c>
      <c r="AN17" s="906">
        <v>0</v>
      </c>
      <c r="AO17" s="687">
        <f>VLOOKUP(AM17,Düngemittel!$B$6:$E$64,2,FALSE)*(VLOOKUP(AM17,Düngemittel!$B$6:$E$64,3,FALSE))/100*AN17</f>
        <v>0</v>
      </c>
      <c r="AP17" s="687">
        <f>VLOOKUP(AM17,Düngemittel!$B$6:$E$64,2,FALSE)*AN17</f>
        <v>0</v>
      </c>
      <c r="AQ17" s="687">
        <f>VLOOKUP(AM17,Düngemittel!$B$6:$E$64,4,FALSE)*AN17</f>
        <v>0</v>
      </c>
      <c r="AS17" s="886"/>
      <c r="AT17" s="887" t="s">
        <v>805</v>
      </c>
      <c r="AU17" s="906">
        <v>0</v>
      </c>
      <c r="AV17" s="687">
        <f>VLOOKUP(AT17,Düngemittel!$B$6:$E$64,2,FALSE)*(VLOOKUP(AT17,Düngemittel!$B$6:$E$64,3,FALSE))/100*AU17</f>
        <v>0</v>
      </c>
      <c r="AW17" s="687">
        <f>VLOOKUP(AT17,Düngemittel!$B$6:$E$64,2,FALSE)*AU17</f>
        <v>0</v>
      </c>
      <c r="AX17" s="687">
        <f>VLOOKUP(AT17,Düngemittel!$B$6:$E$64,4,FALSE)*AU17</f>
        <v>0</v>
      </c>
      <c r="AZ17" s="886"/>
      <c r="BA17" s="887" t="s">
        <v>805</v>
      </c>
      <c r="BB17" s="906">
        <v>0</v>
      </c>
      <c r="BC17" s="687">
        <f>VLOOKUP(BA17,Düngemittel!$B$6:$E$64,2,FALSE)*(VLOOKUP(BA17,Düngemittel!$B$6:$E$64,3,FALSE))/100*BB17</f>
        <v>0</v>
      </c>
      <c r="BD17" s="687">
        <f>VLOOKUP(BA17,Düngemittel!$B$6:$E$64,2,FALSE)*BB17</f>
        <v>0</v>
      </c>
      <c r="BE17" s="687">
        <f>VLOOKUP(BA17,Düngemittel!$B$6:$E$64,4,FALSE)*BB17</f>
        <v>0</v>
      </c>
      <c r="BG17" s="853">
        <f t="shared" si="17"/>
        <v>0</v>
      </c>
      <c r="BH17" s="308">
        <f t="shared" si="18"/>
        <v>0</v>
      </c>
      <c r="BI17" s="853">
        <f t="shared" si="18"/>
        <v>0</v>
      </c>
      <c r="BJ17" s="777">
        <f t="shared" si="19"/>
        <v>0</v>
      </c>
      <c r="BK17" s="308">
        <f t="shared" si="20"/>
        <v>0</v>
      </c>
      <c r="BL17" s="83"/>
      <c r="BM17" s="686">
        <f t="shared" si="21"/>
        <v>0</v>
      </c>
      <c r="BN17" s="686">
        <f t="shared" si="10"/>
        <v>0</v>
      </c>
      <c r="BO17" s="686">
        <f t="shared" si="10"/>
        <v>0</v>
      </c>
      <c r="BP17" s="686">
        <f t="shared" si="10"/>
        <v>0</v>
      </c>
      <c r="BQ17" s="686">
        <f t="shared" si="10"/>
        <v>0</v>
      </c>
      <c r="BT17" s="351">
        <f t="shared" si="11"/>
        <v>0</v>
      </c>
      <c r="BU17" s="351">
        <f t="shared" si="12"/>
        <v>0</v>
      </c>
      <c r="BW17" s="580" t="s">
        <v>769</v>
      </c>
      <c r="BX17" s="580">
        <v>550</v>
      </c>
      <c r="BY17" s="580">
        <v>200</v>
      </c>
      <c r="BZ17" s="580">
        <v>0.2</v>
      </c>
      <c r="CA17" s="580">
        <v>0.3</v>
      </c>
      <c r="CB17" s="591">
        <v>60</v>
      </c>
      <c r="CC17" s="393">
        <v>0.12</v>
      </c>
      <c r="CD17" s="352">
        <f t="shared" si="0"/>
        <v>66</v>
      </c>
      <c r="CE17" s="9"/>
      <c r="CF17" s="3"/>
    </row>
    <row r="18" spans="1:84" ht="26.25" customHeight="1" x14ac:dyDescent="0.25">
      <c r="A18" s="342"/>
      <c r="B18" s="1215"/>
      <c r="C18" s="600" t="s">
        <v>31</v>
      </c>
      <c r="D18" s="408">
        <f t="shared" si="1"/>
        <v>0</v>
      </c>
      <c r="E18" s="427">
        <f t="shared" si="2"/>
        <v>0</v>
      </c>
      <c r="F18" s="1206"/>
      <c r="G18" s="413">
        <f t="shared" si="3"/>
        <v>0</v>
      </c>
      <c r="H18" s="602" t="s">
        <v>510</v>
      </c>
      <c r="I18" s="427">
        <f t="shared" si="4"/>
        <v>0</v>
      </c>
      <c r="J18" s="430" t="s">
        <v>31</v>
      </c>
      <c r="K18" s="606">
        <f t="shared" si="5"/>
        <v>0</v>
      </c>
      <c r="L18" s="408">
        <f t="shared" si="6"/>
        <v>0</v>
      </c>
      <c r="M18" s="1209"/>
      <c r="N18" s="450" t="s">
        <v>160</v>
      </c>
      <c r="O18" s="427">
        <f t="shared" si="7"/>
        <v>0</v>
      </c>
      <c r="P18" s="1212"/>
      <c r="Q18" s="747">
        <f t="shared" si="13"/>
        <v>0</v>
      </c>
      <c r="R18" s="608">
        <f t="shared" si="8"/>
        <v>0</v>
      </c>
      <c r="S18" s="479">
        <f t="shared" si="9"/>
        <v>0</v>
      </c>
      <c r="T18" s="435">
        <f t="shared" si="14"/>
        <v>0</v>
      </c>
      <c r="V18" s="852">
        <f t="shared" si="15"/>
        <v>0</v>
      </c>
      <c r="W18" s="852" t="str">
        <f t="shared" si="16"/>
        <v>keine</v>
      </c>
      <c r="X18" s="886"/>
      <c r="Y18" s="887" t="s">
        <v>805</v>
      </c>
      <c r="Z18" s="906">
        <v>0</v>
      </c>
      <c r="AA18" s="687">
        <f>VLOOKUP(Y18,Düngemittel!$B$6:$E$64,2,FALSE)*(VLOOKUP(Y18,Düngemittel!$B$6:$E$64,3,FALSE))/100*Z18</f>
        <v>0</v>
      </c>
      <c r="AB18" s="687">
        <f>VLOOKUP(Y18,Düngemittel!$B$6:$E$64,2,FALSE)*Z18</f>
        <v>0</v>
      </c>
      <c r="AC18" s="687">
        <f>VLOOKUP(Y18,Düngemittel!$B$6:$E$64,4,FALSE)*Z18</f>
        <v>0</v>
      </c>
      <c r="AE18" s="886"/>
      <c r="AF18" s="887" t="s">
        <v>805</v>
      </c>
      <c r="AG18" s="906">
        <v>0</v>
      </c>
      <c r="AH18" s="687">
        <f>VLOOKUP(AF18,Düngemittel!$B$6:$E$64,2,FALSE)*(VLOOKUP(AF18,Düngemittel!$B$6:$E$64,3,FALSE))/100*AG18</f>
        <v>0</v>
      </c>
      <c r="AI18" s="687">
        <f>VLOOKUP(AF18,Düngemittel!$B$6:$E$64,2,FALSE)*AG18</f>
        <v>0</v>
      </c>
      <c r="AJ18" s="687">
        <f>VLOOKUP(AF18,Düngemittel!$B$6:$E$64,4,FALSE)*AG18</f>
        <v>0</v>
      </c>
      <c r="AL18" s="886"/>
      <c r="AM18" s="887" t="s">
        <v>805</v>
      </c>
      <c r="AN18" s="906">
        <v>0</v>
      </c>
      <c r="AO18" s="687">
        <f>VLOOKUP(AM18,Düngemittel!$B$6:$E$64,2,FALSE)*(VLOOKUP(AM18,Düngemittel!$B$6:$E$64,3,FALSE))/100*AN18</f>
        <v>0</v>
      </c>
      <c r="AP18" s="687">
        <f>VLOOKUP(AM18,Düngemittel!$B$6:$E$64,2,FALSE)*AN18</f>
        <v>0</v>
      </c>
      <c r="AQ18" s="687">
        <f>VLOOKUP(AM18,Düngemittel!$B$6:$E$64,4,FALSE)*AN18</f>
        <v>0</v>
      </c>
      <c r="AS18" s="886"/>
      <c r="AT18" s="887" t="s">
        <v>805</v>
      </c>
      <c r="AU18" s="906">
        <v>0</v>
      </c>
      <c r="AV18" s="687">
        <f>VLOOKUP(AT18,Düngemittel!$B$6:$E$64,2,FALSE)*(VLOOKUP(AT18,Düngemittel!$B$6:$E$64,3,FALSE))/100*AU18</f>
        <v>0</v>
      </c>
      <c r="AW18" s="687">
        <f>VLOOKUP(AT18,Düngemittel!$B$6:$E$64,2,FALSE)*AU18</f>
        <v>0</v>
      </c>
      <c r="AX18" s="687">
        <f>VLOOKUP(AT18,Düngemittel!$B$6:$E$64,4,FALSE)*AU18</f>
        <v>0</v>
      </c>
      <c r="AZ18" s="886"/>
      <c r="BA18" s="887" t="s">
        <v>805</v>
      </c>
      <c r="BB18" s="906">
        <v>0</v>
      </c>
      <c r="BC18" s="687">
        <f>VLOOKUP(BA18,Düngemittel!$B$6:$E$64,2,FALSE)*(VLOOKUP(BA18,Düngemittel!$B$6:$E$64,3,FALSE))/100*BB18</f>
        <v>0</v>
      </c>
      <c r="BD18" s="687">
        <f>VLOOKUP(BA18,Düngemittel!$B$6:$E$64,2,FALSE)*BB18</f>
        <v>0</v>
      </c>
      <c r="BE18" s="687">
        <f>VLOOKUP(BA18,Düngemittel!$B$6:$E$64,4,FALSE)*BB18</f>
        <v>0</v>
      </c>
      <c r="BG18" s="853">
        <f t="shared" si="17"/>
        <v>0</v>
      </c>
      <c r="BH18" s="308">
        <f t="shared" si="18"/>
        <v>0</v>
      </c>
      <c r="BI18" s="853">
        <f t="shared" si="18"/>
        <v>0</v>
      </c>
      <c r="BJ18" s="777">
        <f t="shared" si="19"/>
        <v>0</v>
      </c>
      <c r="BK18" s="308">
        <f t="shared" si="20"/>
        <v>0</v>
      </c>
      <c r="BL18" s="83"/>
      <c r="BM18" s="686">
        <f t="shared" si="21"/>
        <v>0</v>
      </c>
      <c r="BN18" s="686">
        <f t="shared" si="10"/>
        <v>0</v>
      </c>
      <c r="BO18" s="686">
        <f t="shared" si="10"/>
        <v>0</v>
      </c>
      <c r="BP18" s="686">
        <f t="shared" si="10"/>
        <v>0</v>
      </c>
      <c r="BQ18" s="686">
        <f t="shared" si="10"/>
        <v>0</v>
      </c>
      <c r="BT18" s="351">
        <f t="shared" si="11"/>
        <v>0</v>
      </c>
      <c r="BU18" s="351">
        <f t="shared" si="12"/>
        <v>0</v>
      </c>
      <c r="BW18" s="124" t="s">
        <v>224</v>
      </c>
      <c r="BX18" s="124">
        <v>450</v>
      </c>
      <c r="BY18" s="124">
        <v>180</v>
      </c>
      <c r="BZ18" s="593">
        <v>0.2</v>
      </c>
      <c r="CA18" s="593">
        <v>0.2</v>
      </c>
      <c r="CB18" s="641">
        <v>60</v>
      </c>
      <c r="CC18" s="393">
        <v>0.14000000000000001</v>
      </c>
      <c r="CD18" s="352">
        <f t="shared" si="0"/>
        <v>63.000000000000007</v>
      </c>
      <c r="CE18" s="9"/>
      <c r="CF18" s="3"/>
    </row>
    <row r="19" spans="1:84" ht="26.25" customHeight="1" x14ac:dyDescent="0.25">
      <c r="A19" s="342"/>
      <c r="B19" s="1215"/>
      <c r="C19" s="600" t="s">
        <v>31</v>
      </c>
      <c r="D19" s="408">
        <f t="shared" si="1"/>
        <v>0</v>
      </c>
      <c r="E19" s="427">
        <f t="shared" si="2"/>
        <v>0</v>
      </c>
      <c r="F19" s="1206"/>
      <c r="G19" s="413">
        <f t="shared" si="3"/>
        <v>0</v>
      </c>
      <c r="H19" s="602" t="s">
        <v>510</v>
      </c>
      <c r="I19" s="427">
        <f t="shared" si="4"/>
        <v>0</v>
      </c>
      <c r="J19" s="430" t="s">
        <v>31</v>
      </c>
      <c r="K19" s="606">
        <f t="shared" si="5"/>
        <v>0</v>
      </c>
      <c r="L19" s="408">
        <f t="shared" si="6"/>
        <v>0</v>
      </c>
      <c r="M19" s="1209"/>
      <c r="N19" s="450" t="s">
        <v>160</v>
      </c>
      <c r="O19" s="427">
        <f t="shared" si="7"/>
        <v>0</v>
      </c>
      <c r="P19" s="1212"/>
      <c r="Q19" s="747">
        <f t="shared" si="13"/>
        <v>0</v>
      </c>
      <c r="R19" s="608">
        <f t="shared" si="8"/>
        <v>0</v>
      </c>
      <c r="S19" s="479">
        <f t="shared" si="9"/>
        <v>0</v>
      </c>
      <c r="T19" s="435">
        <f t="shared" si="14"/>
        <v>0</v>
      </c>
      <c r="V19" s="852">
        <f t="shared" si="15"/>
        <v>0</v>
      </c>
      <c r="W19" s="852" t="str">
        <f t="shared" si="16"/>
        <v>keine</v>
      </c>
      <c r="X19" s="886"/>
      <c r="Y19" s="887" t="s">
        <v>805</v>
      </c>
      <c r="Z19" s="906">
        <v>0</v>
      </c>
      <c r="AA19" s="687">
        <f>VLOOKUP(Y19,Düngemittel!$B$6:$E$64,2,FALSE)*(VLOOKUP(Y19,Düngemittel!$B$6:$E$64,3,FALSE))/100*Z19</f>
        <v>0</v>
      </c>
      <c r="AB19" s="687">
        <f>VLOOKUP(Y19,Düngemittel!$B$6:$E$64,2,FALSE)*Z19</f>
        <v>0</v>
      </c>
      <c r="AC19" s="687">
        <f>VLOOKUP(Y19,Düngemittel!$B$6:$E$64,4,FALSE)*Z19</f>
        <v>0</v>
      </c>
      <c r="AE19" s="886"/>
      <c r="AF19" s="887" t="s">
        <v>805</v>
      </c>
      <c r="AG19" s="906">
        <v>0</v>
      </c>
      <c r="AH19" s="687">
        <f>VLOOKUP(AF19,Düngemittel!$B$6:$E$64,2,FALSE)*(VLOOKUP(AF19,Düngemittel!$B$6:$E$64,3,FALSE))/100*AG19</f>
        <v>0</v>
      </c>
      <c r="AI19" s="687">
        <f>VLOOKUP(AF19,Düngemittel!$B$6:$E$64,2,FALSE)*AG19</f>
        <v>0</v>
      </c>
      <c r="AJ19" s="687">
        <f>VLOOKUP(AF19,Düngemittel!$B$6:$E$64,4,FALSE)*AG19</f>
        <v>0</v>
      </c>
      <c r="AL19" s="886"/>
      <c r="AM19" s="887" t="s">
        <v>805</v>
      </c>
      <c r="AN19" s="906">
        <v>0</v>
      </c>
      <c r="AO19" s="687">
        <f>VLOOKUP(AM19,Düngemittel!$B$6:$E$64,2,FALSE)*(VLOOKUP(AM19,Düngemittel!$B$6:$E$64,3,FALSE))/100*AN19</f>
        <v>0</v>
      </c>
      <c r="AP19" s="687">
        <f>VLOOKUP(AM19,Düngemittel!$B$6:$E$64,2,FALSE)*AN19</f>
        <v>0</v>
      </c>
      <c r="AQ19" s="687">
        <f>VLOOKUP(AM19,Düngemittel!$B$6:$E$64,4,FALSE)*AN19</f>
        <v>0</v>
      </c>
      <c r="AS19" s="886"/>
      <c r="AT19" s="887" t="s">
        <v>805</v>
      </c>
      <c r="AU19" s="906">
        <v>0</v>
      </c>
      <c r="AV19" s="687">
        <f>VLOOKUP(AT19,Düngemittel!$B$6:$E$64,2,FALSE)*(VLOOKUP(AT19,Düngemittel!$B$6:$E$64,3,FALSE))/100*AU19</f>
        <v>0</v>
      </c>
      <c r="AW19" s="687">
        <f>VLOOKUP(AT19,Düngemittel!$B$6:$E$64,2,FALSE)*AU19</f>
        <v>0</v>
      </c>
      <c r="AX19" s="687">
        <f>VLOOKUP(AT19,Düngemittel!$B$6:$E$64,4,FALSE)*AU19</f>
        <v>0</v>
      </c>
      <c r="AZ19" s="886"/>
      <c r="BA19" s="887" t="s">
        <v>805</v>
      </c>
      <c r="BB19" s="906">
        <v>0</v>
      </c>
      <c r="BC19" s="687">
        <f>VLOOKUP(BA19,Düngemittel!$B$6:$E$64,2,FALSE)*(VLOOKUP(BA19,Düngemittel!$B$6:$E$64,3,FALSE))/100*BB19</f>
        <v>0</v>
      </c>
      <c r="BD19" s="687">
        <f>VLOOKUP(BA19,Düngemittel!$B$6:$E$64,2,FALSE)*BB19</f>
        <v>0</v>
      </c>
      <c r="BE19" s="687">
        <f>VLOOKUP(BA19,Düngemittel!$B$6:$E$64,4,FALSE)*BB19</f>
        <v>0</v>
      </c>
      <c r="BG19" s="853">
        <f t="shared" si="17"/>
        <v>0</v>
      </c>
      <c r="BH19" s="308">
        <f t="shared" si="18"/>
        <v>0</v>
      </c>
      <c r="BI19" s="853">
        <f t="shared" si="18"/>
        <v>0</v>
      </c>
      <c r="BJ19" s="777">
        <f t="shared" si="19"/>
        <v>0</v>
      </c>
      <c r="BK19" s="308">
        <f t="shared" si="20"/>
        <v>0</v>
      </c>
      <c r="BL19" s="83"/>
      <c r="BM19" s="686">
        <f t="shared" si="21"/>
        <v>0</v>
      </c>
      <c r="BN19" s="686">
        <f t="shared" si="10"/>
        <v>0</v>
      </c>
      <c r="BO19" s="686">
        <f t="shared" si="10"/>
        <v>0</v>
      </c>
      <c r="BP19" s="686">
        <f t="shared" si="10"/>
        <v>0</v>
      </c>
      <c r="BQ19" s="686">
        <f t="shared" si="10"/>
        <v>0</v>
      </c>
      <c r="BT19" s="351">
        <f t="shared" si="11"/>
        <v>0</v>
      </c>
      <c r="BU19" s="351">
        <f t="shared" si="12"/>
        <v>0</v>
      </c>
      <c r="BW19" s="124" t="s">
        <v>31</v>
      </c>
      <c r="BX19" s="124">
        <v>0</v>
      </c>
      <c r="BY19" s="124">
        <v>0</v>
      </c>
      <c r="BZ19" s="124">
        <v>0</v>
      </c>
      <c r="CA19" s="124">
        <v>0</v>
      </c>
      <c r="CB19" s="641">
        <v>0</v>
      </c>
      <c r="CC19" s="393">
        <v>0</v>
      </c>
      <c r="CD19" s="352">
        <f t="shared" si="0"/>
        <v>0</v>
      </c>
      <c r="CE19" s="9"/>
      <c r="CF19" s="3"/>
    </row>
    <row r="20" spans="1:84" ht="26.25" customHeight="1" x14ac:dyDescent="0.25">
      <c r="A20" s="342"/>
      <c r="B20" s="1215"/>
      <c r="C20" s="600" t="s">
        <v>31</v>
      </c>
      <c r="D20" s="408">
        <f t="shared" si="1"/>
        <v>0</v>
      </c>
      <c r="E20" s="427">
        <f t="shared" si="2"/>
        <v>0</v>
      </c>
      <c r="F20" s="1206"/>
      <c r="G20" s="413">
        <f t="shared" si="3"/>
        <v>0</v>
      </c>
      <c r="H20" s="602" t="s">
        <v>510</v>
      </c>
      <c r="I20" s="427">
        <f t="shared" si="4"/>
        <v>0</v>
      </c>
      <c r="J20" s="430" t="s">
        <v>31</v>
      </c>
      <c r="K20" s="606">
        <f t="shared" si="5"/>
        <v>0</v>
      </c>
      <c r="L20" s="408">
        <f t="shared" si="6"/>
        <v>0</v>
      </c>
      <c r="M20" s="1209"/>
      <c r="N20" s="450" t="s">
        <v>160</v>
      </c>
      <c r="O20" s="427">
        <f t="shared" si="7"/>
        <v>0</v>
      </c>
      <c r="P20" s="1212"/>
      <c r="Q20" s="747">
        <f t="shared" si="13"/>
        <v>0</v>
      </c>
      <c r="R20" s="608">
        <f t="shared" si="8"/>
        <v>0</v>
      </c>
      <c r="S20" s="479">
        <f t="shared" si="9"/>
        <v>0</v>
      </c>
      <c r="T20" s="435">
        <f t="shared" si="14"/>
        <v>0</v>
      </c>
      <c r="V20" s="852">
        <f t="shared" si="15"/>
        <v>0</v>
      </c>
      <c r="W20" s="852" t="str">
        <f t="shared" si="16"/>
        <v>keine</v>
      </c>
      <c r="X20" s="886"/>
      <c r="Y20" s="887" t="s">
        <v>805</v>
      </c>
      <c r="Z20" s="906">
        <v>0</v>
      </c>
      <c r="AA20" s="687">
        <f>VLOOKUP(Y20,Düngemittel!$B$6:$E$64,2,FALSE)*(VLOOKUP(Y20,Düngemittel!$B$6:$E$64,3,FALSE))/100*Z20</f>
        <v>0</v>
      </c>
      <c r="AB20" s="687">
        <f>VLOOKUP(Y20,Düngemittel!$B$6:$E$64,2,FALSE)*Z20</f>
        <v>0</v>
      </c>
      <c r="AC20" s="687">
        <f>VLOOKUP(Y20,Düngemittel!$B$6:$E$64,4,FALSE)*Z20</f>
        <v>0</v>
      </c>
      <c r="AE20" s="886"/>
      <c r="AF20" s="887" t="s">
        <v>805</v>
      </c>
      <c r="AG20" s="906">
        <v>0</v>
      </c>
      <c r="AH20" s="687">
        <f>VLOOKUP(AF20,Düngemittel!$B$6:$E$64,2,FALSE)*(VLOOKUP(AF20,Düngemittel!$B$6:$E$64,3,FALSE))/100*AG20</f>
        <v>0</v>
      </c>
      <c r="AI20" s="687">
        <f>VLOOKUP(AF20,Düngemittel!$B$6:$E$64,2,FALSE)*AG20</f>
        <v>0</v>
      </c>
      <c r="AJ20" s="687">
        <f>VLOOKUP(AF20,Düngemittel!$B$6:$E$64,4,FALSE)*AG20</f>
        <v>0</v>
      </c>
      <c r="AL20" s="886"/>
      <c r="AM20" s="887" t="s">
        <v>805</v>
      </c>
      <c r="AN20" s="906">
        <v>0</v>
      </c>
      <c r="AO20" s="687">
        <f>VLOOKUP(AM20,Düngemittel!$B$6:$E$64,2,FALSE)*(VLOOKUP(AM20,Düngemittel!$B$6:$E$64,3,FALSE))/100*AN20</f>
        <v>0</v>
      </c>
      <c r="AP20" s="687">
        <f>VLOOKUP(AM20,Düngemittel!$B$6:$E$64,2,FALSE)*AN20</f>
        <v>0</v>
      </c>
      <c r="AQ20" s="687">
        <f>VLOOKUP(AM20,Düngemittel!$B$6:$E$64,4,FALSE)*AN20</f>
        <v>0</v>
      </c>
      <c r="AS20" s="886"/>
      <c r="AT20" s="887" t="s">
        <v>805</v>
      </c>
      <c r="AU20" s="906">
        <v>0</v>
      </c>
      <c r="AV20" s="687">
        <f>VLOOKUP(AT20,Düngemittel!$B$6:$E$64,2,FALSE)*(VLOOKUP(AT20,Düngemittel!$B$6:$E$64,3,FALSE))/100*AU20</f>
        <v>0</v>
      </c>
      <c r="AW20" s="687">
        <f>VLOOKUP(AT20,Düngemittel!$B$6:$E$64,2,FALSE)*AU20</f>
        <v>0</v>
      </c>
      <c r="AX20" s="687">
        <f>VLOOKUP(AT20,Düngemittel!$B$6:$E$64,4,FALSE)*AU20</f>
        <v>0</v>
      </c>
      <c r="AZ20" s="886"/>
      <c r="BA20" s="887" t="s">
        <v>805</v>
      </c>
      <c r="BB20" s="906">
        <v>0</v>
      </c>
      <c r="BC20" s="687">
        <f>VLOOKUP(BA20,Düngemittel!$B$6:$E$64,2,FALSE)*(VLOOKUP(BA20,Düngemittel!$B$6:$E$64,3,FALSE))/100*BB20</f>
        <v>0</v>
      </c>
      <c r="BD20" s="687">
        <f>VLOOKUP(BA20,Düngemittel!$B$6:$E$64,2,FALSE)*BB20</f>
        <v>0</v>
      </c>
      <c r="BE20" s="687">
        <f>VLOOKUP(BA20,Düngemittel!$B$6:$E$64,4,FALSE)*BB20</f>
        <v>0</v>
      </c>
      <c r="BG20" s="853">
        <f t="shared" si="17"/>
        <v>0</v>
      </c>
      <c r="BH20" s="308">
        <f t="shared" si="18"/>
        <v>0</v>
      </c>
      <c r="BI20" s="853">
        <f t="shared" si="18"/>
        <v>0</v>
      </c>
      <c r="BJ20" s="777">
        <f t="shared" si="19"/>
        <v>0</v>
      </c>
      <c r="BK20" s="308">
        <f t="shared" si="20"/>
        <v>0</v>
      </c>
      <c r="BL20" s="83"/>
      <c r="BM20" s="686">
        <f t="shared" si="21"/>
        <v>0</v>
      </c>
      <c r="BN20" s="686">
        <f t="shared" si="10"/>
        <v>0</v>
      </c>
      <c r="BO20" s="686">
        <f t="shared" si="10"/>
        <v>0</v>
      </c>
      <c r="BP20" s="686">
        <f t="shared" si="10"/>
        <v>0</v>
      </c>
      <c r="BQ20" s="686">
        <f t="shared" si="10"/>
        <v>0</v>
      </c>
      <c r="BT20" s="351">
        <f t="shared" si="11"/>
        <v>0</v>
      </c>
      <c r="BU20" s="351">
        <f t="shared" si="12"/>
        <v>0</v>
      </c>
      <c r="BW20" s="240" t="s">
        <v>689</v>
      </c>
      <c r="BX20" s="240">
        <v>250</v>
      </c>
      <c r="BY20" s="240">
        <v>185</v>
      </c>
      <c r="BZ20" s="240">
        <v>0.2</v>
      </c>
      <c r="CA20" s="240">
        <v>0.3</v>
      </c>
      <c r="CB20" s="641">
        <v>60</v>
      </c>
      <c r="CC20" s="393">
        <v>0.2</v>
      </c>
      <c r="CD20" s="352">
        <f t="shared" si="0"/>
        <v>50</v>
      </c>
      <c r="CE20" s="9"/>
      <c r="CF20" s="3"/>
    </row>
    <row r="21" spans="1:84" ht="26.25" customHeight="1" x14ac:dyDescent="0.25">
      <c r="A21" s="342"/>
      <c r="B21" s="1215"/>
      <c r="C21" s="600" t="s">
        <v>31</v>
      </c>
      <c r="D21" s="408">
        <f t="shared" si="1"/>
        <v>0</v>
      </c>
      <c r="E21" s="427">
        <f t="shared" si="2"/>
        <v>0</v>
      </c>
      <c r="F21" s="1206"/>
      <c r="G21" s="413">
        <f t="shared" si="3"/>
        <v>0</v>
      </c>
      <c r="H21" s="602" t="s">
        <v>510</v>
      </c>
      <c r="I21" s="427">
        <f t="shared" si="4"/>
        <v>0</v>
      </c>
      <c r="J21" s="430" t="s">
        <v>31</v>
      </c>
      <c r="K21" s="606">
        <f t="shared" si="5"/>
        <v>0</v>
      </c>
      <c r="L21" s="408">
        <f t="shared" si="6"/>
        <v>0</v>
      </c>
      <c r="M21" s="1209"/>
      <c r="N21" s="450" t="s">
        <v>160</v>
      </c>
      <c r="O21" s="427">
        <f t="shared" si="7"/>
        <v>0</v>
      </c>
      <c r="P21" s="1212"/>
      <c r="Q21" s="747">
        <f t="shared" si="13"/>
        <v>0</v>
      </c>
      <c r="R21" s="608">
        <f t="shared" si="8"/>
        <v>0</v>
      </c>
      <c r="S21" s="479">
        <f t="shared" si="9"/>
        <v>0</v>
      </c>
      <c r="T21" s="435">
        <f t="shared" si="14"/>
        <v>0</v>
      </c>
      <c r="V21" s="852">
        <f t="shared" si="15"/>
        <v>0</v>
      </c>
      <c r="W21" s="852" t="str">
        <f t="shared" si="16"/>
        <v>keine</v>
      </c>
      <c r="X21" s="886"/>
      <c r="Y21" s="887" t="s">
        <v>805</v>
      </c>
      <c r="Z21" s="906">
        <v>0</v>
      </c>
      <c r="AA21" s="687">
        <f>VLOOKUP(Y21,Düngemittel!$B$6:$E$64,2,FALSE)*(VLOOKUP(Y21,Düngemittel!$B$6:$E$64,3,FALSE))/100*Z21</f>
        <v>0</v>
      </c>
      <c r="AB21" s="687">
        <f>VLOOKUP(Y21,Düngemittel!$B$6:$E$64,2,FALSE)*Z21</f>
        <v>0</v>
      </c>
      <c r="AC21" s="687">
        <f>VLOOKUP(Y21,Düngemittel!$B$6:$E$64,4,FALSE)*Z21</f>
        <v>0</v>
      </c>
      <c r="AE21" s="886"/>
      <c r="AF21" s="887" t="s">
        <v>805</v>
      </c>
      <c r="AG21" s="906">
        <v>0</v>
      </c>
      <c r="AH21" s="687">
        <f>VLOOKUP(AF21,Düngemittel!$B$6:$E$64,2,FALSE)*(VLOOKUP(AF21,Düngemittel!$B$6:$E$64,3,FALSE))/100*AG21</f>
        <v>0</v>
      </c>
      <c r="AI21" s="687">
        <f>VLOOKUP(AF21,Düngemittel!$B$6:$E$64,2,FALSE)*AG21</f>
        <v>0</v>
      </c>
      <c r="AJ21" s="687">
        <f>VLOOKUP(AF21,Düngemittel!$B$6:$E$64,4,FALSE)*AG21</f>
        <v>0</v>
      </c>
      <c r="AL21" s="886"/>
      <c r="AM21" s="887" t="s">
        <v>805</v>
      </c>
      <c r="AN21" s="906">
        <v>0</v>
      </c>
      <c r="AO21" s="687">
        <f>VLOOKUP(AM21,Düngemittel!$B$6:$E$64,2,FALSE)*(VLOOKUP(AM21,Düngemittel!$B$6:$E$64,3,FALSE))/100*AN21</f>
        <v>0</v>
      </c>
      <c r="AP21" s="687">
        <f>VLOOKUP(AM21,Düngemittel!$B$6:$E$64,2,FALSE)*AN21</f>
        <v>0</v>
      </c>
      <c r="AQ21" s="687">
        <f>VLOOKUP(AM21,Düngemittel!$B$6:$E$64,4,FALSE)*AN21</f>
        <v>0</v>
      </c>
      <c r="AS21" s="886"/>
      <c r="AT21" s="887" t="s">
        <v>805</v>
      </c>
      <c r="AU21" s="906">
        <v>0</v>
      </c>
      <c r="AV21" s="687">
        <f>VLOOKUP(AT21,Düngemittel!$B$6:$E$64,2,FALSE)*(VLOOKUP(AT21,Düngemittel!$B$6:$E$64,3,FALSE))/100*AU21</f>
        <v>0</v>
      </c>
      <c r="AW21" s="687">
        <f>VLOOKUP(AT21,Düngemittel!$B$6:$E$64,2,FALSE)*AU21</f>
        <v>0</v>
      </c>
      <c r="AX21" s="687">
        <f>VLOOKUP(AT21,Düngemittel!$B$6:$E$64,4,FALSE)*AU21</f>
        <v>0</v>
      </c>
      <c r="AZ21" s="886"/>
      <c r="BA21" s="887" t="s">
        <v>805</v>
      </c>
      <c r="BB21" s="906">
        <v>0</v>
      </c>
      <c r="BC21" s="687">
        <f>VLOOKUP(BA21,Düngemittel!$B$6:$E$64,2,FALSE)*(VLOOKUP(BA21,Düngemittel!$B$6:$E$64,3,FALSE))/100*BB21</f>
        <v>0</v>
      </c>
      <c r="BD21" s="687">
        <f>VLOOKUP(BA21,Düngemittel!$B$6:$E$64,2,FALSE)*BB21</f>
        <v>0</v>
      </c>
      <c r="BE21" s="687">
        <f>VLOOKUP(BA21,Düngemittel!$B$6:$E$64,4,FALSE)*BB21</f>
        <v>0</v>
      </c>
      <c r="BG21" s="853">
        <f t="shared" si="17"/>
        <v>0</v>
      </c>
      <c r="BH21" s="308">
        <f t="shared" si="18"/>
        <v>0</v>
      </c>
      <c r="BI21" s="853">
        <f t="shared" si="18"/>
        <v>0</v>
      </c>
      <c r="BJ21" s="777">
        <f t="shared" si="19"/>
        <v>0</v>
      </c>
      <c r="BK21" s="308">
        <f t="shared" si="20"/>
        <v>0</v>
      </c>
      <c r="BL21" s="83"/>
      <c r="BM21" s="686">
        <f t="shared" si="21"/>
        <v>0</v>
      </c>
      <c r="BN21" s="686">
        <f t="shared" si="10"/>
        <v>0</v>
      </c>
      <c r="BO21" s="686">
        <f t="shared" si="10"/>
        <v>0</v>
      </c>
      <c r="BP21" s="686">
        <f t="shared" si="10"/>
        <v>0</v>
      </c>
      <c r="BQ21" s="686">
        <f t="shared" si="10"/>
        <v>0</v>
      </c>
      <c r="BT21" s="351">
        <f t="shared" si="11"/>
        <v>0</v>
      </c>
      <c r="BU21" s="351">
        <f t="shared" si="12"/>
        <v>0</v>
      </c>
      <c r="BW21" s="580" t="s">
        <v>761</v>
      </c>
      <c r="BX21" s="580">
        <v>50</v>
      </c>
      <c r="BY21" s="580">
        <v>130</v>
      </c>
      <c r="BZ21" s="580">
        <v>1</v>
      </c>
      <c r="CA21" s="580">
        <v>1.5</v>
      </c>
      <c r="CB21" s="641">
        <v>60</v>
      </c>
      <c r="CC21" s="393">
        <v>0.8</v>
      </c>
      <c r="CD21" s="352">
        <f t="shared" si="0"/>
        <v>40</v>
      </c>
      <c r="CE21" s="9"/>
      <c r="CF21" s="3"/>
    </row>
    <row r="22" spans="1:84" ht="26.25" customHeight="1" x14ac:dyDescent="0.25">
      <c r="A22" s="342"/>
      <c r="B22" s="1215"/>
      <c r="C22" s="600" t="s">
        <v>31</v>
      </c>
      <c r="D22" s="408">
        <f t="shared" si="1"/>
        <v>0</v>
      </c>
      <c r="E22" s="427">
        <f t="shared" si="2"/>
        <v>0</v>
      </c>
      <c r="F22" s="1206"/>
      <c r="G22" s="413">
        <f t="shared" si="3"/>
        <v>0</v>
      </c>
      <c r="H22" s="602" t="s">
        <v>510</v>
      </c>
      <c r="I22" s="427">
        <f t="shared" si="4"/>
        <v>0</v>
      </c>
      <c r="J22" s="430" t="s">
        <v>31</v>
      </c>
      <c r="K22" s="606">
        <f t="shared" si="5"/>
        <v>0</v>
      </c>
      <c r="L22" s="408">
        <f t="shared" si="6"/>
        <v>0</v>
      </c>
      <c r="M22" s="1209"/>
      <c r="N22" s="450" t="s">
        <v>160</v>
      </c>
      <c r="O22" s="427">
        <f t="shared" si="7"/>
        <v>0</v>
      </c>
      <c r="P22" s="1212"/>
      <c r="Q22" s="747">
        <f t="shared" si="13"/>
        <v>0</v>
      </c>
      <c r="R22" s="608">
        <f t="shared" si="8"/>
        <v>0</v>
      </c>
      <c r="S22" s="479">
        <f t="shared" si="9"/>
        <v>0</v>
      </c>
      <c r="T22" s="435">
        <f t="shared" si="14"/>
        <v>0</v>
      </c>
      <c r="V22" s="852">
        <f t="shared" si="15"/>
        <v>0</v>
      </c>
      <c r="W22" s="852" t="str">
        <f t="shared" si="16"/>
        <v>keine</v>
      </c>
      <c r="X22" s="886"/>
      <c r="Y22" s="887" t="s">
        <v>805</v>
      </c>
      <c r="Z22" s="906">
        <v>0</v>
      </c>
      <c r="AA22" s="687">
        <f>VLOOKUP(Y22,Düngemittel!$B$6:$E$64,2,FALSE)*(VLOOKUP(Y22,Düngemittel!$B$6:$E$64,3,FALSE))/100*Z22</f>
        <v>0</v>
      </c>
      <c r="AB22" s="687">
        <f>VLOOKUP(Y22,Düngemittel!$B$6:$E$64,2,FALSE)*Z22</f>
        <v>0</v>
      </c>
      <c r="AC22" s="687">
        <f>VLOOKUP(Y22,Düngemittel!$B$6:$E$64,4,FALSE)*Z22</f>
        <v>0</v>
      </c>
      <c r="AE22" s="886"/>
      <c r="AF22" s="887" t="s">
        <v>805</v>
      </c>
      <c r="AG22" s="906">
        <v>0</v>
      </c>
      <c r="AH22" s="687">
        <f>VLOOKUP(AF22,Düngemittel!$B$6:$E$64,2,FALSE)*(VLOOKUP(AF22,Düngemittel!$B$6:$E$64,3,FALSE))/100*AG22</f>
        <v>0</v>
      </c>
      <c r="AI22" s="687">
        <f>VLOOKUP(AF22,Düngemittel!$B$6:$E$64,2,FALSE)*AG22</f>
        <v>0</v>
      </c>
      <c r="AJ22" s="687">
        <f>VLOOKUP(AF22,Düngemittel!$B$6:$E$64,4,FALSE)*AG22</f>
        <v>0</v>
      </c>
      <c r="AL22" s="886"/>
      <c r="AM22" s="887" t="s">
        <v>805</v>
      </c>
      <c r="AN22" s="906">
        <v>0</v>
      </c>
      <c r="AO22" s="687">
        <f>VLOOKUP(AM22,Düngemittel!$B$6:$E$64,2,FALSE)*(VLOOKUP(AM22,Düngemittel!$B$6:$E$64,3,FALSE))/100*AN22</f>
        <v>0</v>
      </c>
      <c r="AP22" s="687">
        <f>VLOOKUP(AM22,Düngemittel!$B$6:$E$64,2,FALSE)*AN22</f>
        <v>0</v>
      </c>
      <c r="AQ22" s="687">
        <f>VLOOKUP(AM22,Düngemittel!$B$6:$E$64,4,FALSE)*AN22</f>
        <v>0</v>
      </c>
      <c r="AS22" s="886"/>
      <c r="AT22" s="887" t="s">
        <v>805</v>
      </c>
      <c r="AU22" s="906">
        <v>0</v>
      </c>
      <c r="AV22" s="687">
        <f>VLOOKUP(AT22,Düngemittel!$B$6:$E$64,2,FALSE)*(VLOOKUP(AT22,Düngemittel!$B$6:$E$64,3,FALSE))/100*AU22</f>
        <v>0</v>
      </c>
      <c r="AW22" s="687">
        <f>VLOOKUP(AT22,Düngemittel!$B$6:$E$64,2,FALSE)*AU22</f>
        <v>0</v>
      </c>
      <c r="AX22" s="687">
        <f>VLOOKUP(AT22,Düngemittel!$B$6:$E$64,4,FALSE)*AU22</f>
        <v>0</v>
      </c>
      <c r="AZ22" s="886"/>
      <c r="BA22" s="887" t="s">
        <v>805</v>
      </c>
      <c r="BB22" s="906">
        <v>0</v>
      </c>
      <c r="BC22" s="687">
        <f>VLOOKUP(BA22,Düngemittel!$B$6:$E$64,2,FALSE)*(VLOOKUP(BA22,Düngemittel!$B$6:$E$64,3,FALSE))/100*BB22</f>
        <v>0</v>
      </c>
      <c r="BD22" s="687">
        <f>VLOOKUP(BA22,Düngemittel!$B$6:$E$64,2,FALSE)*BB22</f>
        <v>0</v>
      </c>
      <c r="BE22" s="687">
        <f>VLOOKUP(BA22,Düngemittel!$B$6:$E$64,4,FALSE)*BB22</f>
        <v>0</v>
      </c>
      <c r="BG22" s="853">
        <f t="shared" si="17"/>
        <v>0</v>
      </c>
      <c r="BH22" s="308">
        <f t="shared" si="18"/>
        <v>0</v>
      </c>
      <c r="BI22" s="853">
        <f t="shared" si="18"/>
        <v>0</v>
      </c>
      <c r="BJ22" s="777">
        <f t="shared" si="19"/>
        <v>0</v>
      </c>
      <c r="BK22" s="308">
        <f t="shared" si="20"/>
        <v>0</v>
      </c>
      <c r="BL22" s="83"/>
      <c r="BM22" s="686">
        <f t="shared" si="21"/>
        <v>0</v>
      </c>
      <c r="BN22" s="686">
        <f t="shared" si="10"/>
        <v>0</v>
      </c>
      <c r="BO22" s="686">
        <f t="shared" si="10"/>
        <v>0</v>
      </c>
      <c r="BP22" s="686">
        <f t="shared" si="10"/>
        <v>0</v>
      </c>
      <c r="BQ22" s="686">
        <f t="shared" si="10"/>
        <v>0</v>
      </c>
      <c r="BT22" s="351">
        <f t="shared" si="11"/>
        <v>0</v>
      </c>
      <c r="BU22" s="351">
        <f t="shared" si="12"/>
        <v>0</v>
      </c>
      <c r="BW22" s="240" t="s">
        <v>704</v>
      </c>
      <c r="BX22" s="240">
        <v>40</v>
      </c>
      <c r="BY22" s="240">
        <v>60</v>
      </c>
      <c r="BZ22" s="240">
        <v>0</v>
      </c>
      <c r="CA22" s="240">
        <v>0</v>
      </c>
      <c r="CB22" s="393">
        <v>30</v>
      </c>
      <c r="CC22" s="393">
        <v>1.2</v>
      </c>
      <c r="CD22" s="352">
        <f t="shared" si="0"/>
        <v>48</v>
      </c>
      <c r="CE22" s="9"/>
      <c r="CF22" s="3"/>
    </row>
    <row r="23" spans="1:84" ht="26.25" customHeight="1" x14ac:dyDescent="0.25">
      <c r="A23" s="342"/>
      <c r="B23" s="1215"/>
      <c r="C23" s="600" t="s">
        <v>31</v>
      </c>
      <c r="D23" s="408">
        <f t="shared" si="1"/>
        <v>0</v>
      </c>
      <c r="E23" s="427">
        <f t="shared" si="2"/>
        <v>0</v>
      </c>
      <c r="F23" s="1206"/>
      <c r="G23" s="413">
        <f t="shared" si="3"/>
        <v>0</v>
      </c>
      <c r="H23" s="602" t="s">
        <v>510</v>
      </c>
      <c r="I23" s="427">
        <f t="shared" si="4"/>
        <v>0</v>
      </c>
      <c r="J23" s="430" t="s">
        <v>31</v>
      </c>
      <c r="K23" s="606">
        <f t="shared" si="5"/>
        <v>0</v>
      </c>
      <c r="L23" s="408">
        <f t="shared" si="6"/>
        <v>0</v>
      </c>
      <c r="M23" s="1209"/>
      <c r="N23" s="450" t="s">
        <v>160</v>
      </c>
      <c r="O23" s="427">
        <f t="shared" si="7"/>
        <v>0</v>
      </c>
      <c r="P23" s="1212"/>
      <c r="Q23" s="747">
        <f t="shared" si="13"/>
        <v>0</v>
      </c>
      <c r="R23" s="608">
        <f t="shared" si="8"/>
        <v>0</v>
      </c>
      <c r="S23" s="479">
        <f t="shared" si="9"/>
        <v>0</v>
      </c>
      <c r="T23" s="435">
        <f t="shared" si="14"/>
        <v>0</v>
      </c>
      <c r="V23" s="852">
        <f t="shared" si="15"/>
        <v>0</v>
      </c>
      <c r="W23" s="852" t="str">
        <f t="shared" si="16"/>
        <v>keine</v>
      </c>
      <c r="X23" s="886"/>
      <c r="Y23" s="887" t="s">
        <v>805</v>
      </c>
      <c r="Z23" s="906">
        <v>0</v>
      </c>
      <c r="AA23" s="687">
        <f>VLOOKUP(Y23,Düngemittel!$B$6:$E$64,2,FALSE)*(VLOOKUP(Y23,Düngemittel!$B$6:$E$64,3,FALSE))/100*Z23</f>
        <v>0</v>
      </c>
      <c r="AB23" s="687">
        <f>VLOOKUP(Y23,Düngemittel!$B$6:$E$64,2,FALSE)*Z23</f>
        <v>0</v>
      </c>
      <c r="AC23" s="687">
        <f>VLOOKUP(Y23,Düngemittel!$B$6:$E$64,4,FALSE)*Z23</f>
        <v>0</v>
      </c>
      <c r="AE23" s="886"/>
      <c r="AF23" s="887" t="s">
        <v>805</v>
      </c>
      <c r="AG23" s="906">
        <v>0</v>
      </c>
      <c r="AH23" s="687">
        <f>VLOOKUP(AF23,Düngemittel!$B$6:$E$64,2,FALSE)*(VLOOKUP(AF23,Düngemittel!$B$6:$E$64,3,FALSE))/100*AG23</f>
        <v>0</v>
      </c>
      <c r="AI23" s="687">
        <f>VLOOKUP(AF23,Düngemittel!$B$6:$E$64,2,FALSE)*AG23</f>
        <v>0</v>
      </c>
      <c r="AJ23" s="687">
        <f>VLOOKUP(AF23,Düngemittel!$B$6:$E$64,4,FALSE)*AG23</f>
        <v>0</v>
      </c>
      <c r="AL23" s="886"/>
      <c r="AM23" s="887" t="s">
        <v>805</v>
      </c>
      <c r="AN23" s="906">
        <v>0</v>
      </c>
      <c r="AO23" s="687">
        <f>VLOOKUP(AM23,Düngemittel!$B$6:$E$64,2,FALSE)*(VLOOKUP(AM23,Düngemittel!$B$6:$E$64,3,FALSE))/100*AN23</f>
        <v>0</v>
      </c>
      <c r="AP23" s="687">
        <f>VLOOKUP(AM23,Düngemittel!$B$6:$E$64,2,FALSE)*AN23</f>
        <v>0</v>
      </c>
      <c r="AQ23" s="687">
        <f>VLOOKUP(AM23,Düngemittel!$B$6:$E$64,4,FALSE)*AN23</f>
        <v>0</v>
      </c>
      <c r="AS23" s="886"/>
      <c r="AT23" s="887" t="s">
        <v>805</v>
      </c>
      <c r="AU23" s="906">
        <v>0</v>
      </c>
      <c r="AV23" s="687">
        <f>VLOOKUP(AT23,Düngemittel!$B$6:$E$64,2,FALSE)*(VLOOKUP(AT23,Düngemittel!$B$6:$E$64,3,FALSE))/100*AU23</f>
        <v>0</v>
      </c>
      <c r="AW23" s="687">
        <f>VLOOKUP(AT23,Düngemittel!$B$6:$E$64,2,FALSE)*AU23</f>
        <v>0</v>
      </c>
      <c r="AX23" s="687">
        <f>VLOOKUP(AT23,Düngemittel!$B$6:$E$64,4,FALSE)*AU23</f>
        <v>0</v>
      </c>
      <c r="AZ23" s="886"/>
      <c r="BA23" s="887" t="s">
        <v>805</v>
      </c>
      <c r="BB23" s="906">
        <v>0</v>
      </c>
      <c r="BC23" s="687">
        <f>VLOOKUP(BA23,Düngemittel!$B$6:$E$64,2,FALSE)*(VLOOKUP(BA23,Düngemittel!$B$6:$E$64,3,FALSE))/100*BB23</f>
        <v>0</v>
      </c>
      <c r="BD23" s="687">
        <f>VLOOKUP(BA23,Düngemittel!$B$6:$E$64,2,FALSE)*BB23</f>
        <v>0</v>
      </c>
      <c r="BE23" s="687">
        <f>VLOOKUP(BA23,Düngemittel!$B$6:$E$64,4,FALSE)*BB23</f>
        <v>0</v>
      </c>
      <c r="BG23" s="853">
        <f t="shared" si="17"/>
        <v>0</v>
      </c>
      <c r="BH23" s="308">
        <f t="shared" si="18"/>
        <v>0</v>
      </c>
      <c r="BI23" s="853">
        <f t="shared" si="18"/>
        <v>0</v>
      </c>
      <c r="BJ23" s="777">
        <f t="shared" si="19"/>
        <v>0</v>
      </c>
      <c r="BK23" s="308">
        <f t="shared" si="20"/>
        <v>0</v>
      </c>
      <c r="BL23" s="83"/>
      <c r="BM23" s="686">
        <f t="shared" si="21"/>
        <v>0</v>
      </c>
      <c r="BN23" s="686">
        <f t="shared" si="10"/>
        <v>0</v>
      </c>
      <c r="BO23" s="686">
        <f t="shared" si="10"/>
        <v>0</v>
      </c>
      <c r="BP23" s="686">
        <f t="shared" si="10"/>
        <v>0</v>
      </c>
      <c r="BQ23" s="686">
        <f t="shared" si="10"/>
        <v>0</v>
      </c>
      <c r="BT23" s="351">
        <f t="shared" si="11"/>
        <v>0</v>
      </c>
      <c r="BU23" s="351">
        <f t="shared" si="12"/>
        <v>0</v>
      </c>
      <c r="BW23" s="124" t="s">
        <v>695</v>
      </c>
      <c r="BX23" s="124">
        <v>90</v>
      </c>
      <c r="BY23" s="124">
        <v>200</v>
      </c>
      <c r="BZ23" s="124">
        <v>1</v>
      </c>
      <c r="CA23" s="124">
        <v>1.5</v>
      </c>
      <c r="CB23" s="641">
        <v>90</v>
      </c>
      <c r="CC23" s="393">
        <v>0.8</v>
      </c>
      <c r="CD23" s="352">
        <f t="shared" si="0"/>
        <v>72</v>
      </c>
    </row>
    <row r="24" spans="1:84" ht="26.25" customHeight="1" x14ac:dyDescent="0.25">
      <c r="A24" s="342"/>
      <c r="B24" s="1215"/>
      <c r="C24" s="600" t="s">
        <v>31</v>
      </c>
      <c r="D24" s="408">
        <f t="shared" si="1"/>
        <v>0</v>
      </c>
      <c r="E24" s="427">
        <f t="shared" si="2"/>
        <v>0</v>
      </c>
      <c r="F24" s="1206"/>
      <c r="G24" s="413">
        <f t="shared" si="3"/>
        <v>0</v>
      </c>
      <c r="H24" s="602" t="s">
        <v>510</v>
      </c>
      <c r="I24" s="427">
        <f t="shared" si="4"/>
        <v>0</v>
      </c>
      <c r="J24" s="430" t="s">
        <v>31</v>
      </c>
      <c r="K24" s="606">
        <f t="shared" si="5"/>
        <v>0</v>
      </c>
      <c r="L24" s="408">
        <f t="shared" si="6"/>
        <v>0</v>
      </c>
      <c r="M24" s="1209"/>
      <c r="N24" s="450" t="s">
        <v>160</v>
      </c>
      <c r="O24" s="427">
        <f t="shared" si="7"/>
        <v>0</v>
      </c>
      <c r="P24" s="1212"/>
      <c r="Q24" s="747">
        <f t="shared" si="13"/>
        <v>0</v>
      </c>
      <c r="R24" s="608">
        <f t="shared" si="8"/>
        <v>0</v>
      </c>
      <c r="S24" s="479">
        <f t="shared" si="9"/>
        <v>0</v>
      </c>
      <c r="T24" s="435">
        <f t="shared" si="14"/>
        <v>0</v>
      </c>
      <c r="V24" s="852">
        <f t="shared" si="15"/>
        <v>0</v>
      </c>
      <c r="W24" s="852" t="str">
        <f t="shared" si="16"/>
        <v>keine</v>
      </c>
      <c r="X24" s="886"/>
      <c r="Y24" s="887" t="s">
        <v>805</v>
      </c>
      <c r="Z24" s="906">
        <v>0</v>
      </c>
      <c r="AA24" s="687">
        <f>VLOOKUP(Y24,Düngemittel!$B$6:$E$64,2,FALSE)*(VLOOKUP(Y24,Düngemittel!$B$6:$E$64,3,FALSE))/100*Z24</f>
        <v>0</v>
      </c>
      <c r="AB24" s="687">
        <f>VLOOKUP(Y24,Düngemittel!$B$6:$E$64,2,FALSE)*Z24</f>
        <v>0</v>
      </c>
      <c r="AC24" s="687">
        <f>VLOOKUP(Y24,Düngemittel!$B$6:$E$64,4,FALSE)*Z24</f>
        <v>0</v>
      </c>
      <c r="AE24" s="886"/>
      <c r="AF24" s="887" t="s">
        <v>805</v>
      </c>
      <c r="AG24" s="906">
        <v>0</v>
      </c>
      <c r="AH24" s="687">
        <f>VLOOKUP(AF24,Düngemittel!$B$6:$E$64,2,FALSE)*(VLOOKUP(AF24,Düngemittel!$B$6:$E$64,3,FALSE))/100*AG24</f>
        <v>0</v>
      </c>
      <c r="AI24" s="687">
        <f>VLOOKUP(AF24,Düngemittel!$B$6:$E$64,2,FALSE)*AG24</f>
        <v>0</v>
      </c>
      <c r="AJ24" s="687">
        <f>VLOOKUP(AF24,Düngemittel!$B$6:$E$64,4,FALSE)*AG24</f>
        <v>0</v>
      </c>
      <c r="AL24" s="886"/>
      <c r="AM24" s="887" t="s">
        <v>805</v>
      </c>
      <c r="AN24" s="906">
        <v>0</v>
      </c>
      <c r="AO24" s="687">
        <f>VLOOKUP(AM24,Düngemittel!$B$6:$E$64,2,FALSE)*(VLOOKUP(AM24,Düngemittel!$B$6:$E$64,3,FALSE))/100*AN24</f>
        <v>0</v>
      </c>
      <c r="AP24" s="687">
        <f>VLOOKUP(AM24,Düngemittel!$B$6:$E$64,2,FALSE)*AN24</f>
        <v>0</v>
      </c>
      <c r="AQ24" s="687">
        <f>VLOOKUP(AM24,Düngemittel!$B$6:$E$64,4,FALSE)*AN24</f>
        <v>0</v>
      </c>
      <c r="AS24" s="886"/>
      <c r="AT24" s="887" t="s">
        <v>805</v>
      </c>
      <c r="AU24" s="906">
        <v>0</v>
      </c>
      <c r="AV24" s="687">
        <f>VLOOKUP(AT24,Düngemittel!$B$6:$E$64,2,FALSE)*(VLOOKUP(AT24,Düngemittel!$B$6:$E$64,3,FALSE))/100*AU24</f>
        <v>0</v>
      </c>
      <c r="AW24" s="687">
        <f>VLOOKUP(AT24,Düngemittel!$B$6:$E$64,2,FALSE)*AU24</f>
        <v>0</v>
      </c>
      <c r="AX24" s="687">
        <f>VLOOKUP(AT24,Düngemittel!$B$6:$E$64,4,FALSE)*AU24</f>
        <v>0</v>
      </c>
      <c r="AZ24" s="886"/>
      <c r="BA24" s="887" t="s">
        <v>805</v>
      </c>
      <c r="BB24" s="906">
        <v>0</v>
      </c>
      <c r="BC24" s="687">
        <f>VLOOKUP(BA24,Düngemittel!$B$6:$E$64,2,FALSE)*(VLOOKUP(BA24,Düngemittel!$B$6:$E$64,3,FALSE))/100*BB24</f>
        <v>0</v>
      </c>
      <c r="BD24" s="687">
        <f>VLOOKUP(BA24,Düngemittel!$B$6:$E$64,2,FALSE)*BB24</f>
        <v>0</v>
      </c>
      <c r="BE24" s="687">
        <f>VLOOKUP(BA24,Düngemittel!$B$6:$E$64,4,FALSE)*BB24</f>
        <v>0</v>
      </c>
      <c r="BG24" s="853">
        <f t="shared" si="17"/>
        <v>0</v>
      </c>
      <c r="BH24" s="308">
        <f t="shared" si="18"/>
        <v>0</v>
      </c>
      <c r="BI24" s="853">
        <f t="shared" si="18"/>
        <v>0</v>
      </c>
      <c r="BJ24" s="777">
        <f t="shared" si="19"/>
        <v>0</v>
      </c>
      <c r="BK24" s="308">
        <f t="shared" si="20"/>
        <v>0</v>
      </c>
      <c r="BL24" s="83"/>
      <c r="BM24" s="686">
        <f t="shared" si="21"/>
        <v>0</v>
      </c>
      <c r="BN24" s="686">
        <f t="shared" si="21"/>
        <v>0</v>
      </c>
      <c r="BO24" s="686">
        <f t="shared" si="21"/>
        <v>0</v>
      </c>
      <c r="BP24" s="686">
        <f t="shared" si="21"/>
        <v>0</v>
      </c>
      <c r="BQ24" s="686">
        <f t="shared" si="21"/>
        <v>0</v>
      </c>
      <c r="BT24" s="351">
        <f t="shared" si="11"/>
        <v>0</v>
      </c>
      <c r="BU24" s="351">
        <f t="shared" si="12"/>
        <v>0</v>
      </c>
      <c r="BW24" s="124" t="s">
        <v>479</v>
      </c>
      <c r="BX24" s="124">
        <v>400</v>
      </c>
      <c r="BY24" s="124">
        <v>140</v>
      </c>
      <c r="BZ24" s="124">
        <v>0.25</v>
      </c>
      <c r="CA24" s="124">
        <v>0.25</v>
      </c>
      <c r="CB24" s="641">
        <v>60</v>
      </c>
      <c r="CC24" s="393">
        <v>0.21</v>
      </c>
      <c r="CD24" s="352">
        <f t="shared" si="0"/>
        <v>84</v>
      </c>
    </row>
    <row r="25" spans="1:84" ht="26.25" customHeight="1" x14ac:dyDescent="0.25">
      <c r="A25" s="342"/>
      <c r="B25" s="1215"/>
      <c r="C25" s="600" t="s">
        <v>31</v>
      </c>
      <c r="D25" s="408">
        <f t="shared" si="1"/>
        <v>0</v>
      </c>
      <c r="E25" s="427">
        <f t="shared" si="2"/>
        <v>0</v>
      </c>
      <c r="F25" s="1206"/>
      <c r="G25" s="413">
        <f t="shared" si="3"/>
        <v>0</v>
      </c>
      <c r="H25" s="602" t="s">
        <v>510</v>
      </c>
      <c r="I25" s="427">
        <f t="shared" si="4"/>
        <v>0</v>
      </c>
      <c r="J25" s="430" t="s">
        <v>31</v>
      </c>
      <c r="K25" s="606">
        <f t="shared" si="5"/>
        <v>0</v>
      </c>
      <c r="L25" s="408">
        <f t="shared" si="6"/>
        <v>0</v>
      </c>
      <c r="M25" s="1209"/>
      <c r="N25" s="450" t="s">
        <v>160</v>
      </c>
      <c r="O25" s="427">
        <f t="shared" si="7"/>
        <v>0</v>
      </c>
      <c r="P25" s="1212"/>
      <c r="Q25" s="747">
        <f t="shared" si="13"/>
        <v>0</v>
      </c>
      <c r="R25" s="608">
        <f t="shared" si="8"/>
        <v>0</v>
      </c>
      <c r="S25" s="479">
        <f t="shared" si="9"/>
        <v>0</v>
      </c>
      <c r="T25" s="435">
        <f t="shared" si="14"/>
        <v>0</v>
      </c>
      <c r="V25" s="852">
        <f t="shared" si="15"/>
        <v>0</v>
      </c>
      <c r="W25" s="852" t="str">
        <f t="shared" si="16"/>
        <v>keine</v>
      </c>
      <c r="X25" s="886"/>
      <c r="Y25" s="887" t="s">
        <v>805</v>
      </c>
      <c r="Z25" s="906">
        <v>0</v>
      </c>
      <c r="AA25" s="687">
        <f>VLOOKUP(Y25,Düngemittel!$B$6:$E$64,2,FALSE)*(VLOOKUP(Y25,Düngemittel!$B$6:$E$64,3,FALSE))/100*Z25</f>
        <v>0</v>
      </c>
      <c r="AB25" s="687">
        <f>VLOOKUP(Y25,Düngemittel!$B$6:$E$64,2,FALSE)*Z25</f>
        <v>0</v>
      </c>
      <c r="AC25" s="687">
        <f>VLOOKUP(Y25,Düngemittel!$B$6:$E$64,4,FALSE)*Z25</f>
        <v>0</v>
      </c>
      <c r="AE25" s="886"/>
      <c r="AF25" s="887" t="s">
        <v>805</v>
      </c>
      <c r="AG25" s="906">
        <v>0</v>
      </c>
      <c r="AH25" s="687">
        <f>VLOOKUP(AF25,Düngemittel!$B$6:$E$64,2,FALSE)*(VLOOKUP(AF25,Düngemittel!$B$6:$E$64,3,FALSE))/100*AG25</f>
        <v>0</v>
      </c>
      <c r="AI25" s="687">
        <f>VLOOKUP(AF25,Düngemittel!$B$6:$E$64,2,FALSE)*AG25</f>
        <v>0</v>
      </c>
      <c r="AJ25" s="687">
        <f>VLOOKUP(AF25,Düngemittel!$B$6:$E$64,4,FALSE)*AG25</f>
        <v>0</v>
      </c>
      <c r="AL25" s="886"/>
      <c r="AM25" s="887" t="s">
        <v>805</v>
      </c>
      <c r="AN25" s="906">
        <v>0</v>
      </c>
      <c r="AO25" s="687">
        <f>VLOOKUP(AM25,Düngemittel!$B$6:$E$64,2,FALSE)*(VLOOKUP(AM25,Düngemittel!$B$6:$E$64,3,FALSE))/100*AN25</f>
        <v>0</v>
      </c>
      <c r="AP25" s="687">
        <f>VLOOKUP(AM25,Düngemittel!$B$6:$E$64,2,FALSE)*AN25</f>
        <v>0</v>
      </c>
      <c r="AQ25" s="687">
        <f>VLOOKUP(AM25,Düngemittel!$B$6:$E$64,4,FALSE)*AN25</f>
        <v>0</v>
      </c>
      <c r="AS25" s="886"/>
      <c r="AT25" s="887" t="s">
        <v>805</v>
      </c>
      <c r="AU25" s="906">
        <v>0</v>
      </c>
      <c r="AV25" s="687">
        <f>VLOOKUP(AT25,Düngemittel!$B$6:$E$64,2,FALSE)*(VLOOKUP(AT25,Düngemittel!$B$6:$E$64,3,FALSE))/100*AU25</f>
        <v>0</v>
      </c>
      <c r="AW25" s="687">
        <f>VLOOKUP(AT25,Düngemittel!$B$6:$E$64,2,FALSE)*AU25</f>
        <v>0</v>
      </c>
      <c r="AX25" s="687">
        <f>VLOOKUP(AT25,Düngemittel!$B$6:$E$64,4,FALSE)*AU25</f>
        <v>0</v>
      </c>
      <c r="AZ25" s="886"/>
      <c r="BA25" s="887" t="s">
        <v>805</v>
      </c>
      <c r="BB25" s="906">
        <v>0</v>
      </c>
      <c r="BC25" s="687">
        <f>VLOOKUP(BA25,Düngemittel!$B$6:$E$64,2,FALSE)*(VLOOKUP(BA25,Düngemittel!$B$6:$E$64,3,FALSE))/100*BB25</f>
        <v>0</v>
      </c>
      <c r="BD25" s="687">
        <f>VLOOKUP(BA25,Düngemittel!$B$6:$E$64,2,FALSE)*BB25</f>
        <v>0</v>
      </c>
      <c r="BE25" s="687">
        <f>VLOOKUP(BA25,Düngemittel!$B$6:$E$64,4,FALSE)*BB25</f>
        <v>0</v>
      </c>
      <c r="BG25" s="853">
        <f t="shared" si="17"/>
        <v>0</v>
      </c>
      <c r="BH25" s="308">
        <f t="shared" si="18"/>
        <v>0</v>
      </c>
      <c r="BI25" s="853">
        <f t="shared" si="18"/>
        <v>0</v>
      </c>
      <c r="BJ25" s="777">
        <f t="shared" si="19"/>
        <v>0</v>
      </c>
      <c r="BK25" s="308">
        <f t="shared" si="20"/>
        <v>0</v>
      </c>
      <c r="BL25" s="83"/>
      <c r="BM25" s="686">
        <f t="shared" si="21"/>
        <v>0</v>
      </c>
      <c r="BN25" s="686">
        <f t="shared" si="21"/>
        <v>0</v>
      </c>
      <c r="BO25" s="686">
        <f t="shared" si="21"/>
        <v>0</v>
      </c>
      <c r="BP25" s="686">
        <f t="shared" si="21"/>
        <v>0</v>
      </c>
      <c r="BQ25" s="686">
        <f t="shared" si="21"/>
        <v>0</v>
      </c>
      <c r="BT25" s="351">
        <f t="shared" si="11"/>
        <v>0</v>
      </c>
      <c r="BU25" s="351">
        <f t="shared" si="12"/>
        <v>0</v>
      </c>
      <c r="BW25" s="240" t="s">
        <v>705</v>
      </c>
      <c r="BX25" s="240">
        <v>20</v>
      </c>
      <c r="BY25" s="594">
        <v>110</v>
      </c>
      <c r="BZ25" s="594">
        <v>2</v>
      </c>
      <c r="CA25" s="594">
        <v>3</v>
      </c>
      <c r="CB25" s="641">
        <v>60</v>
      </c>
      <c r="CC25" s="393">
        <v>2</v>
      </c>
      <c r="CD25" s="352">
        <f t="shared" si="0"/>
        <v>40</v>
      </c>
    </row>
    <row r="26" spans="1:84" ht="26.25" customHeight="1" x14ac:dyDescent="0.25">
      <c r="A26" s="342"/>
      <c r="B26" s="1215"/>
      <c r="C26" s="600" t="s">
        <v>31</v>
      </c>
      <c r="D26" s="408">
        <f t="shared" si="1"/>
        <v>0</v>
      </c>
      <c r="E26" s="427">
        <f t="shared" si="2"/>
        <v>0</v>
      </c>
      <c r="F26" s="1206"/>
      <c r="G26" s="413">
        <f t="shared" si="3"/>
        <v>0</v>
      </c>
      <c r="H26" s="602" t="s">
        <v>510</v>
      </c>
      <c r="I26" s="427">
        <f t="shared" si="4"/>
        <v>0</v>
      </c>
      <c r="J26" s="430" t="s">
        <v>31</v>
      </c>
      <c r="K26" s="606">
        <f t="shared" si="5"/>
        <v>0</v>
      </c>
      <c r="L26" s="408">
        <f t="shared" si="6"/>
        <v>0</v>
      </c>
      <c r="M26" s="1209"/>
      <c r="N26" s="450" t="s">
        <v>160</v>
      </c>
      <c r="O26" s="427">
        <f t="shared" si="7"/>
        <v>0</v>
      </c>
      <c r="P26" s="1212"/>
      <c r="Q26" s="747">
        <f t="shared" si="13"/>
        <v>0</v>
      </c>
      <c r="R26" s="608">
        <f t="shared" si="8"/>
        <v>0</v>
      </c>
      <c r="S26" s="479">
        <f t="shared" si="9"/>
        <v>0</v>
      </c>
      <c r="T26" s="435">
        <f t="shared" si="14"/>
        <v>0</v>
      </c>
      <c r="V26" s="852">
        <f t="shared" si="15"/>
        <v>0</v>
      </c>
      <c r="W26" s="852" t="str">
        <f t="shared" si="16"/>
        <v>keine</v>
      </c>
      <c r="X26" s="886"/>
      <c r="Y26" s="887" t="s">
        <v>805</v>
      </c>
      <c r="Z26" s="906">
        <v>0</v>
      </c>
      <c r="AA26" s="687">
        <f>VLOOKUP(Y26,Düngemittel!$B$6:$E$64,2,FALSE)*(VLOOKUP(Y26,Düngemittel!$B$6:$E$64,3,FALSE))/100*Z26</f>
        <v>0</v>
      </c>
      <c r="AB26" s="687">
        <f>VLOOKUP(Y26,Düngemittel!$B$6:$E$64,2,FALSE)*Z26</f>
        <v>0</v>
      </c>
      <c r="AC26" s="687">
        <f>VLOOKUP(Y26,Düngemittel!$B$6:$E$64,4,FALSE)*Z26</f>
        <v>0</v>
      </c>
      <c r="AE26" s="886"/>
      <c r="AF26" s="887" t="s">
        <v>805</v>
      </c>
      <c r="AG26" s="906">
        <v>0</v>
      </c>
      <c r="AH26" s="687">
        <f>VLOOKUP(AF26,Düngemittel!$B$6:$E$64,2,FALSE)*(VLOOKUP(AF26,Düngemittel!$B$6:$E$64,3,FALSE))/100*AG26</f>
        <v>0</v>
      </c>
      <c r="AI26" s="687">
        <f>VLOOKUP(AF26,Düngemittel!$B$6:$E$64,2,FALSE)*AG26</f>
        <v>0</v>
      </c>
      <c r="AJ26" s="687">
        <f>VLOOKUP(AF26,Düngemittel!$B$6:$E$64,4,FALSE)*AG26</f>
        <v>0</v>
      </c>
      <c r="AL26" s="886"/>
      <c r="AM26" s="887" t="s">
        <v>805</v>
      </c>
      <c r="AN26" s="906">
        <v>0</v>
      </c>
      <c r="AO26" s="687">
        <f>VLOOKUP(AM26,Düngemittel!$B$6:$E$64,2,FALSE)*(VLOOKUP(AM26,Düngemittel!$B$6:$E$64,3,FALSE))/100*AN26</f>
        <v>0</v>
      </c>
      <c r="AP26" s="687">
        <f>VLOOKUP(AM26,Düngemittel!$B$6:$E$64,2,FALSE)*AN26</f>
        <v>0</v>
      </c>
      <c r="AQ26" s="687">
        <f>VLOOKUP(AM26,Düngemittel!$B$6:$E$64,4,FALSE)*AN26</f>
        <v>0</v>
      </c>
      <c r="AS26" s="886"/>
      <c r="AT26" s="887" t="s">
        <v>805</v>
      </c>
      <c r="AU26" s="906">
        <v>0</v>
      </c>
      <c r="AV26" s="687">
        <f>VLOOKUP(AT26,Düngemittel!$B$6:$E$64,2,FALSE)*(VLOOKUP(AT26,Düngemittel!$B$6:$E$64,3,FALSE))/100*AU26</f>
        <v>0</v>
      </c>
      <c r="AW26" s="687">
        <f>VLOOKUP(AT26,Düngemittel!$B$6:$E$64,2,FALSE)*AU26</f>
        <v>0</v>
      </c>
      <c r="AX26" s="687">
        <f>VLOOKUP(AT26,Düngemittel!$B$6:$E$64,4,FALSE)*AU26</f>
        <v>0</v>
      </c>
      <c r="AZ26" s="886"/>
      <c r="BA26" s="887" t="s">
        <v>805</v>
      </c>
      <c r="BB26" s="906">
        <v>0</v>
      </c>
      <c r="BC26" s="687">
        <f>VLOOKUP(BA26,Düngemittel!$B$6:$E$64,2,FALSE)*(VLOOKUP(BA26,Düngemittel!$B$6:$E$64,3,FALSE))/100*BB26</f>
        <v>0</v>
      </c>
      <c r="BD26" s="687">
        <f>VLOOKUP(BA26,Düngemittel!$B$6:$E$64,2,FALSE)*BB26</f>
        <v>0</v>
      </c>
      <c r="BE26" s="687">
        <f>VLOOKUP(BA26,Düngemittel!$B$6:$E$64,4,FALSE)*BB26</f>
        <v>0</v>
      </c>
      <c r="BG26" s="853">
        <f t="shared" si="17"/>
        <v>0</v>
      </c>
      <c r="BH26" s="308">
        <f t="shared" si="18"/>
        <v>0</v>
      </c>
      <c r="BI26" s="853">
        <f t="shared" si="18"/>
        <v>0</v>
      </c>
      <c r="BJ26" s="777">
        <f t="shared" si="19"/>
        <v>0</v>
      </c>
      <c r="BK26" s="308">
        <f t="shared" si="20"/>
        <v>0</v>
      </c>
      <c r="BL26" s="83"/>
      <c r="BM26" s="686">
        <f t="shared" si="21"/>
        <v>0</v>
      </c>
      <c r="BN26" s="686">
        <f t="shared" si="21"/>
        <v>0</v>
      </c>
      <c r="BO26" s="686">
        <f t="shared" si="21"/>
        <v>0</v>
      </c>
      <c r="BP26" s="686">
        <f t="shared" si="21"/>
        <v>0</v>
      </c>
      <c r="BQ26" s="686">
        <f t="shared" si="21"/>
        <v>0</v>
      </c>
      <c r="BT26" s="351">
        <f t="shared" si="11"/>
        <v>0</v>
      </c>
      <c r="BU26" s="351">
        <f t="shared" si="12"/>
        <v>0</v>
      </c>
      <c r="BV26" s="126"/>
      <c r="BW26" s="240" t="s">
        <v>763</v>
      </c>
      <c r="BX26" s="240">
        <v>850</v>
      </c>
      <c r="BY26" s="594">
        <v>220</v>
      </c>
      <c r="BZ26" s="595">
        <v>0.18</v>
      </c>
      <c r="CA26" s="595">
        <v>0.22</v>
      </c>
      <c r="CB26" s="641">
        <v>90</v>
      </c>
      <c r="CC26" s="393">
        <v>7.0000000000000007E-2</v>
      </c>
      <c r="CD26" s="352">
        <f t="shared" si="0"/>
        <v>59.500000000000007</v>
      </c>
    </row>
    <row r="27" spans="1:84" ht="26.25" customHeight="1" x14ac:dyDescent="0.25">
      <c r="A27" s="342"/>
      <c r="B27" s="1215"/>
      <c r="C27" s="600" t="s">
        <v>31</v>
      </c>
      <c r="D27" s="408">
        <f t="shared" si="1"/>
        <v>0</v>
      </c>
      <c r="E27" s="427">
        <f t="shared" si="2"/>
        <v>0</v>
      </c>
      <c r="F27" s="1206"/>
      <c r="G27" s="413">
        <f t="shared" si="3"/>
        <v>0</v>
      </c>
      <c r="H27" s="602" t="s">
        <v>510</v>
      </c>
      <c r="I27" s="427">
        <f t="shared" si="4"/>
        <v>0</v>
      </c>
      <c r="J27" s="430" t="s">
        <v>31</v>
      </c>
      <c r="K27" s="606">
        <f t="shared" si="5"/>
        <v>0</v>
      </c>
      <c r="L27" s="408">
        <f t="shared" si="6"/>
        <v>0</v>
      </c>
      <c r="M27" s="1209"/>
      <c r="N27" s="450" t="s">
        <v>160</v>
      </c>
      <c r="O27" s="427">
        <f t="shared" si="7"/>
        <v>0</v>
      </c>
      <c r="P27" s="1212"/>
      <c r="Q27" s="747">
        <f t="shared" si="13"/>
        <v>0</v>
      </c>
      <c r="R27" s="608">
        <f t="shared" si="8"/>
        <v>0</v>
      </c>
      <c r="S27" s="479">
        <f t="shared" si="9"/>
        <v>0</v>
      </c>
      <c r="T27" s="435">
        <f t="shared" si="14"/>
        <v>0</v>
      </c>
      <c r="V27" s="852">
        <f t="shared" si="15"/>
        <v>0</v>
      </c>
      <c r="W27" s="852" t="str">
        <f t="shared" si="16"/>
        <v>keine</v>
      </c>
      <c r="X27" s="886"/>
      <c r="Y27" s="887" t="s">
        <v>805</v>
      </c>
      <c r="Z27" s="906">
        <v>0</v>
      </c>
      <c r="AA27" s="687">
        <f>VLOOKUP(Y27,Düngemittel!$B$6:$E$64,2,FALSE)*(VLOOKUP(Y27,Düngemittel!$B$6:$E$64,3,FALSE))/100*Z27</f>
        <v>0</v>
      </c>
      <c r="AB27" s="687">
        <f>VLOOKUP(Y27,Düngemittel!$B$6:$E$64,2,FALSE)*Z27</f>
        <v>0</v>
      </c>
      <c r="AC27" s="687">
        <f>VLOOKUP(Y27,Düngemittel!$B$6:$E$64,4,FALSE)*Z27</f>
        <v>0</v>
      </c>
      <c r="AE27" s="886"/>
      <c r="AF27" s="887" t="s">
        <v>805</v>
      </c>
      <c r="AG27" s="906">
        <v>0</v>
      </c>
      <c r="AH27" s="687">
        <f>VLOOKUP(AF27,Düngemittel!$B$6:$E$64,2,FALSE)*(VLOOKUP(AF27,Düngemittel!$B$6:$E$64,3,FALSE))/100*AG27</f>
        <v>0</v>
      </c>
      <c r="AI27" s="687">
        <f>VLOOKUP(AF27,Düngemittel!$B$6:$E$64,2,FALSE)*AG27</f>
        <v>0</v>
      </c>
      <c r="AJ27" s="687">
        <f>VLOOKUP(AF27,Düngemittel!$B$6:$E$64,4,FALSE)*AG27</f>
        <v>0</v>
      </c>
      <c r="AL27" s="886"/>
      <c r="AM27" s="887" t="s">
        <v>805</v>
      </c>
      <c r="AN27" s="906">
        <v>0</v>
      </c>
      <c r="AO27" s="687">
        <f>VLOOKUP(AM27,Düngemittel!$B$6:$E$64,2,FALSE)*(VLOOKUP(AM27,Düngemittel!$B$6:$E$64,3,FALSE))/100*AN27</f>
        <v>0</v>
      </c>
      <c r="AP27" s="687">
        <f>VLOOKUP(AM27,Düngemittel!$B$6:$E$64,2,FALSE)*AN27</f>
        <v>0</v>
      </c>
      <c r="AQ27" s="687">
        <f>VLOOKUP(AM27,Düngemittel!$B$6:$E$64,4,FALSE)*AN27</f>
        <v>0</v>
      </c>
      <c r="AS27" s="886"/>
      <c r="AT27" s="887" t="s">
        <v>805</v>
      </c>
      <c r="AU27" s="906">
        <v>0</v>
      </c>
      <c r="AV27" s="687">
        <f>VLOOKUP(AT27,Düngemittel!$B$6:$E$64,2,FALSE)*(VLOOKUP(AT27,Düngemittel!$B$6:$E$64,3,FALSE))/100*AU27</f>
        <v>0</v>
      </c>
      <c r="AW27" s="687">
        <f>VLOOKUP(AT27,Düngemittel!$B$6:$E$64,2,FALSE)*AU27</f>
        <v>0</v>
      </c>
      <c r="AX27" s="687">
        <f>VLOOKUP(AT27,Düngemittel!$B$6:$E$64,4,FALSE)*AU27</f>
        <v>0</v>
      </c>
      <c r="AZ27" s="886"/>
      <c r="BA27" s="887" t="s">
        <v>805</v>
      </c>
      <c r="BB27" s="906">
        <v>0</v>
      </c>
      <c r="BC27" s="687">
        <f>VLOOKUP(BA27,Düngemittel!$B$6:$E$64,2,FALSE)*(VLOOKUP(BA27,Düngemittel!$B$6:$E$64,3,FALSE))/100*BB27</f>
        <v>0</v>
      </c>
      <c r="BD27" s="687">
        <f>VLOOKUP(BA27,Düngemittel!$B$6:$E$64,2,FALSE)*BB27</f>
        <v>0</v>
      </c>
      <c r="BE27" s="687">
        <f>VLOOKUP(BA27,Düngemittel!$B$6:$E$64,4,FALSE)*BB27</f>
        <v>0</v>
      </c>
      <c r="BG27" s="853">
        <f t="shared" si="17"/>
        <v>0</v>
      </c>
      <c r="BH27" s="308">
        <f t="shared" si="18"/>
        <v>0</v>
      </c>
      <c r="BI27" s="853">
        <f t="shared" si="18"/>
        <v>0</v>
      </c>
      <c r="BJ27" s="777">
        <f t="shared" si="19"/>
        <v>0</v>
      </c>
      <c r="BK27" s="308">
        <f t="shared" si="20"/>
        <v>0</v>
      </c>
      <c r="BL27" s="83"/>
      <c r="BM27" s="686">
        <f t="shared" si="21"/>
        <v>0</v>
      </c>
      <c r="BN27" s="686">
        <f t="shared" si="21"/>
        <v>0</v>
      </c>
      <c r="BO27" s="686">
        <f t="shared" si="21"/>
        <v>0</v>
      </c>
      <c r="BP27" s="686">
        <f t="shared" si="21"/>
        <v>0</v>
      </c>
      <c r="BQ27" s="686">
        <f t="shared" si="21"/>
        <v>0</v>
      </c>
      <c r="BT27" s="351">
        <f t="shared" si="11"/>
        <v>0</v>
      </c>
      <c r="BU27" s="351">
        <f t="shared" si="12"/>
        <v>0</v>
      </c>
      <c r="BW27" s="643" t="s">
        <v>772</v>
      </c>
      <c r="BX27" s="643">
        <v>200</v>
      </c>
      <c r="BY27" s="643">
        <v>100</v>
      </c>
      <c r="BZ27" s="643">
        <v>0.2</v>
      </c>
      <c r="CA27" s="643">
        <v>0.3</v>
      </c>
      <c r="CB27" s="641">
        <v>60</v>
      </c>
      <c r="CC27" s="393">
        <v>0.24</v>
      </c>
      <c r="CD27" s="352">
        <f t="shared" si="0"/>
        <v>48</v>
      </c>
    </row>
    <row r="28" spans="1:84" ht="26.25" customHeight="1" x14ac:dyDescent="0.25">
      <c r="A28" s="342"/>
      <c r="B28" s="1215"/>
      <c r="C28" s="600" t="s">
        <v>31</v>
      </c>
      <c r="D28" s="408">
        <f t="shared" si="1"/>
        <v>0</v>
      </c>
      <c r="E28" s="427">
        <f t="shared" si="2"/>
        <v>0</v>
      </c>
      <c r="F28" s="1206"/>
      <c r="G28" s="413">
        <f t="shared" si="3"/>
        <v>0</v>
      </c>
      <c r="H28" s="602" t="s">
        <v>510</v>
      </c>
      <c r="I28" s="427">
        <f t="shared" si="4"/>
        <v>0</v>
      </c>
      <c r="J28" s="430" t="s">
        <v>31</v>
      </c>
      <c r="K28" s="606">
        <f t="shared" si="5"/>
        <v>0</v>
      </c>
      <c r="L28" s="408">
        <f t="shared" si="6"/>
        <v>0</v>
      </c>
      <c r="M28" s="1209"/>
      <c r="N28" s="450" t="s">
        <v>160</v>
      </c>
      <c r="O28" s="427">
        <f t="shared" si="7"/>
        <v>0</v>
      </c>
      <c r="P28" s="1212"/>
      <c r="Q28" s="747">
        <f t="shared" si="13"/>
        <v>0</v>
      </c>
      <c r="R28" s="608">
        <f t="shared" si="8"/>
        <v>0</v>
      </c>
      <c r="S28" s="479">
        <f t="shared" si="9"/>
        <v>0</v>
      </c>
      <c r="T28" s="435">
        <f t="shared" si="14"/>
        <v>0</v>
      </c>
      <c r="U28" s="122"/>
      <c r="V28" s="852">
        <f t="shared" si="15"/>
        <v>0</v>
      </c>
      <c r="W28" s="852" t="str">
        <f t="shared" si="16"/>
        <v>keine</v>
      </c>
      <c r="X28" s="886"/>
      <c r="Y28" s="887" t="s">
        <v>805</v>
      </c>
      <c r="Z28" s="906">
        <v>0</v>
      </c>
      <c r="AA28" s="687">
        <f>VLOOKUP(Y28,Düngemittel!$B$6:$E$64,2,FALSE)*(VLOOKUP(Y28,Düngemittel!$B$6:$E$64,3,FALSE))/100*Z28</f>
        <v>0</v>
      </c>
      <c r="AB28" s="687">
        <f>VLOOKUP(Y28,Düngemittel!$B$6:$E$64,2,FALSE)*Z28</f>
        <v>0</v>
      </c>
      <c r="AC28" s="687">
        <f>VLOOKUP(Y28,Düngemittel!$B$6:$E$64,4,FALSE)*Z28</f>
        <v>0</v>
      </c>
      <c r="AD28" s="122"/>
      <c r="AE28" s="886"/>
      <c r="AF28" s="887" t="s">
        <v>805</v>
      </c>
      <c r="AG28" s="906">
        <v>0</v>
      </c>
      <c r="AH28" s="687">
        <f>VLOOKUP(AF28,Düngemittel!$B$6:$E$64,2,FALSE)*(VLOOKUP(AF28,Düngemittel!$B$6:$E$64,3,FALSE))/100*AG28</f>
        <v>0</v>
      </c>
      <c r="AI28" s="687">
        <f>VLOOKUP(AF28,Düngemittel!$B$6:$E$64,2,FALSE)*AG28</f>
        <v>0</v>
      </c>
      <c r="AJ28" s="687">
        <f>VLOOKUP(AF28,Düngemittel!$B$6:$E$64,4,FALSE)*AG28</f>
        <v>0</v>
      </c>
      <c r="AK28" s="122"/>
      <c r="AL28" s="886"/>
      <c r="AM28" s="887" t="s">
        <v>805</v>
      </c>
      <c r="AN28" s="906">
        <v>0</v>
      </c>
      <c r="AO28" s="687">
        <f>VLOOKUP(AM28,Düngemittel!$B$6:$E$64,2,FALSE)*(VLOOKUP(AM28,Düngemittel!$B$6:$E$64,3,FALSE))/100*AN28</f>
        <v>0</v>
      </c>
      <c r="AP28" s="687">
        <f>VLOOKUP(AM28,Düngemittel!$B$6:$E$64,2,FALSE)*AN28</f>
        <v>0</v>
      </c>
      <c r="AQ28" s="687">
        <f>VLOOKUP(AM28,Düngemittel!$B$6:$E$64,4,FALSE)*AN28</f>
        <v>0</v>
      </c>
      <c r="AR28" s="122"/>
      <c r="AS28" s="886"/>
      <c r="AT28" s="887" t="s">
        <v>805</v>
      </c>
      <c r="AU28" s="906">
        <v>0</v>
      </c>
      <c r="AV28" s="687">
        <f>VLOOKUP(AT28,Düngemittel!$B$6:$E$64,2,FALSE)*(VLOOKUP(AT28,Düngemittel!$B$6:$E$64,3,FALSE))/100*AU28</f>
        <v>0</v>
      </c>
      <c r="AW28" s="687">
        <f>VLOOKUP(AT28,Düngemittel!$B$6:$E$64,2,FALSE)*AU28</f>
        <v>0</v>
      </c>
      <c r="AX28" s="687">
        <f>VLOOKUP(AT28,Düngemittel!$B$6:$E$64,4,FALSE)*AU28</f>
        <v>0</v>
      </c>
      <c r="AY28" s="122"/>
      <c r="AZ28" s="886"/>
      <c r="BA28" s="887" t="s">
        <v>805</v>
      </c>
      <c r="BB28" s="906">
        <v>0</v>
      </c>
      <c r="BC28" s="687">
        <f>VLOOKUP(BA28,Düngemittel!$B$6:$E$64,2,FALSE)*(VLOOKUP(BA28,Düngemittel!$B$6:$E$64,3,FALSE))/100*BB28</f>
        <v>0</v>
      </c>
      <c r="BD28" s="687">
        <f>VLOOKUP(BA28,Düngemittel!$B$6:$E$64,2,FALSE)*BB28</f>
        <v>0</v>
      </c>
      <c r="BE28" s="687">
        <f>VLOOKUP(BA28,Düngemittel!$B$6:$E$64,4,FALSE)*BB28</f>
        <v>0</v>
      </c>
      <c r="BF28" s="122"/>
      <c r="BG28" s="853">
        <f t="shared" si="17"/>
        <v>0</v>
      </c>
      <c r="BH28" s="308">
        <f t="shared" si="18"/>
        <v>0</v>
      </c>
      <c r="BI28" s="853">
        <f t="shared" si="18"/>
        <v>0</v>
      </c>
      <c r="BJ28" s="777">
        <f t="shared" si="19"/>
        <v>0</v>
      </c>
      <c r="BK28" s="308">
        <f t="shared" si="20"/>
        <v>0</v>
      </c>
      <c r="BL28" s="83"/>
      <c r="BM28" s="686">
        <f t="shared" si="21"/>
        <v>0</v>
      </c>
      <c r="BN28" s="686">
        <f t="shared" si="21"/>
        <v>0</v>
      </c>
      <c r="BO28" s="686">
        <f t="shared" si="21"/>
        <v>0</v>
      </c>
      <c r="BP28" s="686">
        <f t="shared" si="21"/>
        <v>0</v>
      </c>
      <c r="BQ28" s="686">
        <f t="shared" si="21"/>
        <v>0</v>
      </c>
      <c r="BS28" s="122"/>
      <c r="BT28" s="351">
        <f t="shared" si="11"/>
        <v>0</v>
      </c>
      <c r="BU28" s="351">
        <f t="shared" si="12"/>
        <v>0</v>
      </c>
      <c r="BW28" s="124" t="s">
        <v>702</v>
      </c>
      <c r="BX28" s="124">
        <v>20</v>
      </c>
      <c r="BY28" s="592">
        <v>100</v>
      </c>
      <c r="BZ28" s="591">
        <v>2</v>
      </c>
      <c r="CA28" s="591">
        <v>3</v>
      </c>
      <c r="CB28" s="641">
        <v>60</v>
      </c>
      <c r="CC28" s="393">
        <v>1.2</v>
      </c>
      <c r="CD28" s="352">
        <f t="shared" si="0"/>
        <v>24</v>
      </c>
    </row>
    <row r="29" spans="1:84" ht="20.25" customHeight="1" x14ac:dyDescent="0.25">
      <c r="A29" s="342"/>
      <c r="B29" s="1215"/>
      <c r="C29" s="600" t="s">
        <v>31</v>
      </c>
      <c r="D29" s="408">
        <f t="shared" si="1"/>
        <v>0</v>
      </c>
      <c r="E29" s="427">
        <f t="shared" si="2"/>
        <v>0</v>
      </c>
      <c r="F29" s="1206"/>
      <c r="G29" s="413">
        <f t="shared" si="3"/>
        <v>0</v>
      </c>
      <c r="H29" s="602" t="s">
        <v>510</v>
      </c>
      <c r="I29" s="427">
        <f t="shared" si="4"/>
        <v>0</v>
      </c>
      <c r="J29" s="430" t="s">
        <v>31</v>
      </c>
      <c r="K29" s="606">
        <f t="shared" si="5"/>
        <v>0</v>
      </c>
      <c r="L29" s="408">
        <f t="shared" si="6"/>
        <v>0</v>
      </c>
      <c r="M29" s="1209"/>
      <c r="N29" s="450" t="s">
        <v>160</v>
      </c>
      <c r="O29" s="427">
        <f t="shared" si="7"/>
        <v>0</v>
      </c>
      <c r="P29" s="1212"/>
      <c r="Q29" s="747">
        <f t="shared" si="13"/>
        <v>0</v>
      </c>
      <c r="R29" s="608">
        <f t="shared" si="8"/>
        <v>0</v>
      </c>
      <c r="S29" s="479">
        <f t="shared" si="9"/>
        <v>0</v>
      </c>
      <c r="T29" s="435">
        <f t="shared" si="14"/>
        <v>0</v>
      </c>
      <c r="V29" s="852">
        <f t="shared" si="15"/>
        <v>0</v>
      </c>
      <c r="W29" s="852" t="str">
        <f t="shared" si="16"/>
        <v>keine</v>
      </c>
      <c r="X29" s="886"/>
      <c r="Y29" s="887" t="s">
        <v>805</v>
      </c>
      <c r="Z29" s="906">
        <v>0</v>
      </c>
      <c r="AA29" s="687">
        <f>VLOOKUP(Y29,Düngemittel!$B$6:$E$64,2,FALSE)*(VLOOKUP(Y29,Düngemittel!$B$6:$E$64,3,FALSE))/100*Z29</f>
        <v>0</v>
      </c>
      <c r="AB29" s="687">
        <f>VLOOKUP(Y29,Düngemittel!$B$6:$E$64,2,FALSE)*Z29</f>
        <v>0</v>
      </c>
      <c r="AC29" s="687">
        <f>VLOOKUP(Y29,Düngemittel!$B$6:$E$64,4,FALSE)*Z29</f>
        <v>0</v>
      </c>
      <c r="AE29" s="886"/>
      <c r="AF29" s="887" t="s">
        <v>805</v>
      </c>
      <c r="AG29" s="906">
        <v>0</v>
      </c>
      <c r="AH29" s="687">
        <f>VLOOKUP(AF29,Düngemittel!$B$6:$E$64,2,FALSE)*(VLOOKUP(AF29,Düngemittel!$B$6:$E$64,3,FALSE))/100*AG29</f>
        <v>0</v>
      </c>
      <c r="AI29" s="687">
        <f>VLOOKUP(AF29,Düngemittel!$B$6:$E$64,2,FALSE)*AG29</f>
        <v>0</v>
      </c>
      <c r="AJ29" s="687">
        <f>VLOOKUP(AF29,Düngemittel!$B$6:$E$64,4,FALSE)*AG29</f>
        <v>0</v>
      </c>
      <c r="AL29" s="886"/>
      <c r="AM29" s="887" t="s">
        <v>805</v>
      </c>
      <c r="AN29" s="906">
        <v>0</v>
      </c>
      <c r="AO29" s="687">
        <f>VLOOKUP(AM29,Düngemittel!$B$6:$E$64,2,FALSE)*(VLOOKUP(AM29,Düngemittel!$B$6:$E$64,3,FALSE))/100*AN29</f>
        <v>0</v>
      </c>
      <c r="AP29" s="687">
        <f>VLOOKUP(AM29,Düngemittel!$B$6:$E$64,2,FALSE)*AN29</f>
        <v>0</v>
      </c>
      <c r="AQ29" s="687">
        <f>VLOOKUP(AM29,Düngemittel!$B$6:$E$64,4,FALSE)*AN29</f>
        <v>0</v>
      </c>
      <c r="AS29" s="886"/>
      <c r="AT29" s="887" t="s">
        <v>805</v>
      </c>
      <c r="AU29" s="906">
        <v>0</v>
      </c>
      <c r="AV29" s="687">
        <f>VLOOKUP(AT29,Düngemittel!$B$6:$E$64,2,FALSE)*(VLOOKUP(AT29,Düngemittel!$B$6:$E$64,3,FALSE))/100*AU29</f>
        <v>0</v>
      </c>
      <c r="AW29" s="687">
        <f>VLOOKUP(AT29,Düngemittel!$B$6:$E$64,2,FALSE)*AU29</f>
        <v>0</v>
      </c>
      <c r="AX29" s="687">
        <f>VLOOKUP(AT29,Düngemittel!$B$6:$E$64,4,FALSE)*AU29</f>
        <v>0</v>
      </c>
      <c r="AZ29" s="886"/>
      <c r="BA29" s="887" t="s">
        <v>805</v>
      </c>
      <c r="BB29" s="906">
        <v>0</v>
      </c>
      <c r="BC29" s="687">
        <f>VLOOKUP(BA29,Düngemittel!$B$6:$E$64,2,FALSE)*(VLOOKUP(BA29,Düngemittel!$B$6:$E$64,3,FALSE))/100*BB29</f>
        <v>0</v>
      </c>
      <c r="BD29" s="687">
        <f>VLOOKUP(BA29,Düngemittel!$B$6:$E$64,2,FALSE)*BB29</f>
        <v>0</v>
      </c>
      <c r="BE29" s="687">
        <f>VLOOKUP(BA29,Düngemittel!$B$6:$E$64,4,FALSE)*BB29</f>
        <v>0</v>
      </c>
      <c r="BG29" s="853">
        <f t="shared" si="17"/>
        <v>0</v>
      </c>
      <c r="BH29" s="308">
        <f t="shared" si="18"/>
        <v>0</v>
      </c>
      <c r="BI29" s="853">
        <f t="shared" si="18"/>
        <v>0</v>
      </c>
      <c r="BJ29" s="777">
        <f t="shared" si="19"/>
        <v>0</v>
      </c>
      <c r="BK29" s="308">
        <f t="shared" si="20"/>
        <v>0</v>
      </c>
      <c r="BL29" s="83"/>
      <c r="BM29" s="686">
        <f t="shared" si="21"/>
        <v>0</v>
      </c>
      <c r="BN29" s="686">
        <f t="shared" si="21"/>
        <v>0</v>
      </c>
      <c r="BO29" s="686">
        <f t="shared" si="21"/>
        <v>0</v>
      </c>
      <c r="BP29" s="686">
        <f t="shared" si="21"/>
        <v>0</v>
      </c>
      <c r="BQ29" s="686">
        <f t="shared" si="21"/>
        <v>0</v>
      </c>
      <c r="BT29" s="351">
        <f t="shared" si="11"/>
        <v>0</v>
      </c>
      <c r="BU29" s="351">
        <f t="shared" si="12"/>
        <v>0</v>
      </c>
      <c r="BV29" s="112"/>
      <c r="BW29" s="240" t="s">
        <v>697</v>
      </c>
      <c r="BX29" s="240">
        <v>25</v>
      </c>
      <c r="BY29" s="594">
        <v>160</v>
      </c>
      <c r="BZ29" s="591">
        <v>2</v>
      </c>
      <c r="CA29" s="591">
        <v>3</v>
      </c>
      <c r="CB29" s="641">
        <v>60</v>
      </c>
      <c r="CC29" s="393">
        <v>1.77</v>
      </c>
      <c r="CD29" s="352">
        <f t="shared" si="0"/>
        <v>44.25</v>
      </c>
    </row>
    <row r="30" spans="1:84" ht="21" customHeight="1" x14ac:dyDescent="0.25">
      <c r="A30" s="342"/>
      <c r="B30" s="1215"/>
      <c r="C30" s="600" t="s">
        <v>31</v>
      </c>
      <c r="D30" s="408">
        <f t="shared" si="1"/>
        <v>0</v>
      </c>
      <c r="E30" s="427">
        <f t="shared" si="2"/>
        <v>0</v>
      </c>
      <c r="F30" s="1206"/>
      <c r="G30" s="413">
        <f t="shared" si="3"/>
        <v>0</v>
      </c>
      <c r="H30" s="602" t="s">
        <v>510</v>
      </c>
      <c r="I30" s="427">
        <f t="shared" si="4"/>
        <v>0</v>
      </c>
      <c r="J30" s="430" t="s">
        <v>31</v>
      </c>
      <c r="K30" s="606">
        <f t="shared" si="5"/>
        <v>0</v>
      </c>
      <c r="L30" s="408">
        <f t="shared" si="6"/>
        <v>0</v>
      </c>
      <c r="M30" s="1209"/>
      <c r="N30" s="450" t="s">
        <v>160</v>
      </c>
      <c r="O30" s="427">
        <f t="shared" si="7"/>
        <v>0</v>
      </c>
      <c r="P30" s="1212"/>
      <c r="Q30" s="747">
        <f t="shared" si="13"/>
        <v>0</v>
      </c>
      <c r="R30" s="608">
        <f t="shared" si="8"/>
        <v>0</v>
      </c>
      <c r="S30" s="479">
        <f t="shared" si="9"/>
        <v>0</v>
      </c>
      <c r="T30" s="435">
        <f t="shared" si="14"/>
        <v>0</v>
      </c>
      <c r="V30" s="852">
        <f t="shared" si="15"/>
        <v>0</v>
      </c>
      <c r="W30" s="852" t="str">
        <f t="shared" si="16"/>
        <v>keine</v>
      </c>
      <c r="X30" s="886"/>
      <c r="Y30" s="887" t="s">
        <v>805</v>
      </c>
      <c r="Z30" s="906">
        <v>0</v>
      </c>
      <c r="AA30" s="687">
        <f>VLOOKUP(Y30,Düngemittel!$B$6:$E$64,2,FALSE)*(VLOOKUP(Y30,Düngemittel!$B$6:$E$64,3,FALSE))/100*Z30</f>
        <v>0</v>
      </c>
      <c r="AB30" s="687">
        <f>VLOOKUP(Y30,Düngemittel!$B$6:$E$64,2,FALSE)*Z30</f>
        <v>0</v>
      </c>
      <c r="AC30" s="687">
        <f>VLOOKUP(Y30,Düngemittel!$B$6:$E$64,4,FALSE)*Z30</f>
        <v>0</v>
      </c>
      <c r="AE30" s="886"/>
      <c r="AF30" s="887" t="s">
        <v>805</v>
      </c>
      <c r="AG30" s="906">
        <v>0</v>
      </c>
      <c r="AH30" s="687">
        <f>VLOOKUP(AF30,Düngemittel!$B$6:$E$64,2,FALSE)*(VLOOKUP(AF30,Düngemittel!$B$6:$E$64,3,FALSE))/100*AG30</f>
        <v>0</v>
      </c>
      <c r="AI30" s="687">
        <f>VLOOKUP(AF30,Düngemittel!$B$6:$E$64,2,FALSE)*AG30</f>
        <v>0</v>
      </c>
      <c r="AJ30" s="687">
        <f>VLOOKUP(AF30,Düngemittel!$B$6:$E$64,4,FALSE)*AG30</f>
        <v>0</v>
      </c>
      <c r="AL30" s="886"/>
      <c r="AM30" s="887" t="s">
        <v>805</v>
      </c>
      <c r="AN30" s="906">
        <v>0</v>
      </c>
      <c r="AO30" s="687">
        <f>VLOOKUP(AM30,Düngemittel!$B$6:$E$64,2,FALSE)*(VLOOKUP(AM30,Düngemittel!$B$6:$E$64,3,FALSE))/100*AN30</f>
        <v>0</v>
      </c>
      <c r="AP30" s="687">
        <f>VLOOKUP(AM30,Düngemittel!$B$6:$E$64,2,FALSE)*AN30</f>
        <v>0</v>
      </c>
      <c r="AQ30" s="687">
        <f>VLOOKUP(AM30,Düngemittel!$B$6:$E$64,4,FALSE)*AN30</f>
        <v>0</v>
      </c>
      <c r="AS30" s="886"/>
      <c r="AT30" s="887" t="s">
        <v>805</v>
      </c>
      <c r="AU30" s="906">
        <v>0</v>
      </c>
      <c r="AV30" s="687">
        <f>VLOOKUP(AT30,Düngemittel!$B$6:$E$64,2,FALSE)*(VLOOKUP(AT30,Düngemittel!$B$6:$E$64,3,FALSE))/100*AU30</f>
        <v>0</v>
      </c>
      <c r="AW30" s="687">
        <f>VLOOKUP(AT30,Düngemittel!$B$6:$E$64,2,FALSE)*AU30</f>
        <v>0</v>
      </c>
      <c r="AX30" s="687">
        <f>VLOOKUP(AT30,Düngemittel!$B$6:$E$64,4,FALSE)*AU30</f>
        <v>0</v>
      </c>
      <c r="AZ30" s="886"/>
      <c r="BA30" s="887" t="s">
        <v>805</v>
      </c>
      <c r="BB30" s="906">
        <v>0</v>
      </c>
      <c r="BC30" s="687">
        <f>VLOOKUP(BA30,Düngemittel!$B$6:$E$64,2,FALSE)*(VLOOKUP(BA30,Düngemittel!$B$6:$E$64,3,FALSE))/100*BB30</f>
        <v>0</v>
      </c>
      <c r="BD30" s="687">
        <f>VLOOKUP(BA30,Düngemittel!$B$6:$E$64,2,FALSE)*BB30</f>
        <v>0</v>
      </c>
      <c r="BE30" s="687">
        <f>VLOOKUP(BA30,Düngemittel!$B$6:$E$64,4,FALSE)*BB30</f>
        <v>0</v>
      </c>
      <c r="BG30" s="853">
        <f t="shared" si="17"/>
        <v>0</v>
      </c>
      <c r="BH30" s="308">
        <f t="shared" si="18"/>
        <v>0</v>
      </c>
      <c r="BI30" s="853">
        <f t="shared" si="18"/>
        <v>0</v>
      </c>
      <c r="BJ30" s="777">
        <f t="shared" si="19"/>
        <v>0</v>
      </c>
      <c r="BK30" s="308">
        <f t="shared" si="20"/>
        <v>0</v>
      </c>
      <c r="BL30" s="83"/>
      <c r="BM30" s="686">
        <f t="shared" si="21"/>
        <v>0</v>
      </c>
      <c r="BN30" s="686">
        <f t="shared" si="21"/>
        <v>0</v>
      </c>
      <c r="BO30" s="686">
        <f t="shared" si="21"/>
        <v>0</v>
      </c>
      <c r="BP30" s="686">
        <f t="shared" si="21"/>
        <v>0</v>
      </c>
      <c r="BQ30" s="686">
        <f t="shared" si="21"/>
        <v>0</v>
      </c>
      <c r="BT30" s="351">
        <f t="shared" si="11"/>
        <v>0</v>
      </c>
      <c r="BU30" s="351">
        <f t="shared" si="12"/>
        <v>0</v>
      </c>
      <c r="BV30" s="112"/>
      <c r="BW30" s="580" t="s">
        <v>770</v>
      </c>
      <c r="BX30" s="580">
        <v>500</v>
      </c>
      <c r="BY30" s="591">
        <v>140</v>
      </c>
      <c r="BZ30" s="642">
        <v>0.2</v>
      </c>
      <c r="CA30" s="642">
        <v>0.3</v>
      </c>
      <c r="CB30" s="641">
        <v>60</v>
      </c>
      <c r="CC30" s="393">
        <v>0.14000000000000001</v>
      </c>
      <c r="CD30" s="352">
        <f t="shared" si="0"/>
        <v>70</v>
      </c>
    </row>
    <row r="31" spans="1:84" ht="25.5" customHeight="1" thickBot="1" x14ac:dyDescent="0.3">
      <c r="A31" s="381"/>
      <c r="B31" s="1216"/>
      <c r="C31" s="807" t="s">
        <v>31</v>
      </c>
      <c r="D31" s="410">
        <f>VLOOKUP(C31,BW$3:CA$58,2,FALSE)</f>
        <v>0</v>
      </c>
      <c r="E31" s="601">
        <f t="shared" si="2"/>
        <v>0</v>
      </c>
      <c r="F31" s="1207"/>
      <c r="G31" s="414">
        <f t="shared" si="3"/>
        <v>0</v>
      </c>
      <c r="H31" s="603" t="s">
        <v>510</v>
      </c>
      <c r="I31" s="428">
        <f t="shared" si="4"/>
        <v>0</v>
      </c>
      <c r="J31" s="431" t="s">
        <v>31</v>
      </c>
      <c r="K31" s="607">
        <f t="shared" si="5"/>
        <v>0</v>
      </c>
      <c r="L31" s="410">
        <f t="shared" si="6"/>
        <v>0</v>
      </c>
      <c r="M31" s="1210"/>
      <c r="N31" s="454" t="s">
        <v>160</v>
      </c>
      <c r="O31" s="428">
        <f t="shared" si="7"/>
        <v>0</v>
      </c>
      <c r="P31" s="1213"/>
      <c r="Q31" s="482">
        <f t="shared" si="13"/>
        <v>0</v>
      </c>
      <c r="R31" s="609">
        <f t="shared" si="8"/>
        <v>0</v>
      </c>
      <c r="S31" s="480">
        <f>F31*VLOOKUP(C31,BW$3:CC$58,7,FALSE)</f>
        <v>0</v>
      </c>
      <c r="T31" s="481">
        <f t="shared" si="14"/>
        <v>0</v>
      </c>
      <c r="V31" s="852">
        <f t="shared" si="15"/>
        <v>0</v>
      </c>
      <c r="W31" s="852" t="str">
        <f t="shared" si="16"/>
        <v>keine</v>
      </c>
      <c r="X31" s="886"/>
      <c r="Y31" s="887" t="s">
        <v>805</v>
      </c>
      <c r="Z31" s="906">
        <v>0</v>
      </c>
      <c r="AA31" s="687">
        <f>VLOOKUP(Y31,Düngemittel!$B$6:$E$64,2,FALSE)*(VLOOKUP(Y31,Düngemittel!$B$6:$E$64,3,FALSE))/100*Z31</f>
        <v>0</v>
      </c>
      <c r="AB31" s="687">
        <f>VLOOKUP(Y31,Düngemittel!$B$6:$E$64,2,FALSE)*Z31</f>
        <v>0</v>
      </c>
      <c r="AC31" s="687">
        <f>VLOOKUP(Y31,Düngemittel!$B$6:$E$64,4,FALSE)*Z31</f>
        <v>0</v>
      </c>
      <c r="AE31" s="886"/>
      <c r="AF31" s="887" t="s">
        <v>805</v>
      </c>
      <c r="AG31" s="906">
        <v>0</v>
      </c>
      <c r="AH31" s="687">
        <f>VLOOKUP(AF31,Düngemittel!$B$6:$E$64,2,FALSE)*(VLOOKUP(AF31,Düngemittel!$B$6:$E$64,3,FALSE))/100*AG31</f>
        <v>0</v>
      </c>
      <c r="AI31" s="687">
        <f>VLOOKUP(AF31,Düngemittel!$B$6:$E$64,2,FALSE)*AG31</f>
        <v>0</v>
      </c>
      <c r="AJ31" s="687">
        <f>VLOOKUP(AF31,Düngemittel!$B$6:$E$64,4,FALSE)*AG31</f>
        <v>0</v>
      </c>
      <c r="AL31" s="886"/>
      <c r="AM31" s="887" t="s">
        <v>805</v>
      </c>
      <c r="AN31" s="906">
        <v>0</v>
      </c>
      <c r="AO31" s="687">
        <f>VLOOKUP(AM31,Düngemittel!$B$6:$E$64,2,FALSE)*(VLOOKUP(AM31,Düngemittel!$B$6:$E$64,3,FALSE))/100*AN31</f>
        <v>0</v>
      </c>
      <c r="AP31" s="687">
        <f>VLOOKUP(AM31,Düngemittel!$B$6:$E$64,2,FALSE)*AN31</f>
        <v>0</v>
      </c>
      <c r="AQ31" s="687">
        <f>VLOOKUP(AM31,Düngemittel!$B$6:$E$64,4,FALSE)*AN31</f>
        <v>0</v>
      </c>
      <c r="AS31" s="886"/>
      <c r="AT31" s="887" t="s">
        <v>805</v>
      </c>
      <c r="AU31" s="906">
        <v>0</v>
      </c>
      <c r="AV31" s="687">
        <f>VLOOKUP(AT31,Düngemittel!$B$6:$E$64,2,FALSE)*(VLOOKUP(AT31,Düngemittel!$B$6:$E$64,3,FALSE))/100*AU31</f>
        <v>0</v>
      </c>
      <c r="AW31" s="687">
        <f>VLOOKUP(AT31,Düngemittel!$B$6:$E$64,2,FALSE)*AU31</f>
        <v>0</v>
      </c>
      <c r="AX31" s="687">
        <f>VLOOKUP(AT31,Düngemittel!$B$6:$E$64,4,FALSE)*AU31</f>
        <v>0</v>
      </c>
      <c r="AZ31" s="886"/>
      <c r="BA31" s="887" t="s">
        <v>805</v>
      </c>
      <c r="BB31" s="906">
        <v>0</v>
      </c>
      <c r="BC31" s="687">
        <f>VLOOKUP(BA31,Düngemittel!$B$6:$E$64,2,FALSE)*(VLOOKUP(BA31,Düngemittel!$B$6:$E$64,3,FALSE))/100*BB31</f>
        <v>0</v>
      </c>
      <c r="BD31" s="687">
        <f>VLOOKUP(BA31,Düngemittel!$B$6:$E$64,2,FALSE)*BB31</f>
        <v>0</v>
      </c>
      <c r="BE31" s="687">
        <f>VLOOKUP(BA31,Düngemittel!$B$6:$E$64,4,FALSE)*BB31</f>
        <v>0</v>
      </c>
      <c r="BG31" s="853">
        <f t="shared" si="17"/>
        <v>0</v>
      </c>
      <c r="BH31" s="308">
        <f t="shared" si="18"/>
        <v>0</v>
      </c>
      <c r="BI31" s="853">
        <f t="shared" si="18"/>
        <v>0</v>
      </c>
      <c r="BJ31" s="777">
        <f t="shared" si="19"/>
        <v>0</v>
      </c>
      <c r="BK31" s="308">
        <f t="shared" si="20"/>
        <v>0</v>
      </c>
      <c r="BL31" s="83"/>
      <c r="BM31" s="686">
        <f t="shared" si="21"/>
        <v>0</v>
      </c>
      <c r="BN31" s="686">
        <f t="shared" si="21"/>
        <v>0</v>
      </c>
      <c r="BO31" s="686">
        <f t="shared" si="21"/>
        <v>0</v>
      </c>
      <c r="BP31" s="686">
        <f t="shared" si="21"/>
        <v>0</v>
      </c>
      <c r="BQ31" s="686">
        <f t="shared" si="21"/>
        <v>0</v>
      </c>
      <c r="BT31" s="351">
        <f t="shared" si="11"/>
        <v>0</v>
      </c>
      <c r="BU31" s="351">
        <f t="shared" si="12"/>
        <v>0</v>
      </c>
      <c r="BW31" s="124" t="s">
        <v>696</v>
      </c>
      <c r="BX31" s="124">
        <v>450</v>
      </c>
      <c r="BY31" s="592">
        <v>200</v>
      </c>
      <c r="BZ31" s="593">
        <v>0.2</v>
      </c>
      <c r="CA31" s="593">
        <v>0.3</v>
      </c>
      <c r="CB31" s="641">
        <v>90</v>
      </c>
      <c r="CC31" s="393">
        <v>0.16</v>
      </c>
      <c r="CD31" s="352">
        <f t="shared" si="0"/>
        <v>72</v>
      </c>
    </row>
    <row r="32" spans="1:84" ht="25.5" customHeight="1" thickBot="1" x14ac:dyDescent="0.3">
      <c r="A32" s="382" t="s">
        <v>292</v>
      </c>
      <c r="B32" s="808">
        <f>SUM(B8:B31)</f>
        <v>0</v>
      </c>
      <c r="C32" s="809" t="s">
        <v>1077</v>
      </c>
      <c r="D32" s="371"/>
      <c r="E32" s="371"/>
      <c r="F32" s="371"/>
      <c r="G32" s="371"/>
      <c r="H32" s="375"/>
      <c r="I32" s="375"/>
      <c r="J32" s="375"/>
      <c r="K32" s="375"/>
      <c r="L32" s="371"/>
      <c r="M32" s="371"/>
      <c r="N32" s="375"/>
      <c r="O32" s="375"/>
      <c r="P32" s="375"/>
      <c r="Q32" s="385" t="s">
        <v>543</v>
      </c>
      <c r="R32" s="395">
        <f>SUM(R8:R31)</f>
        <v>0</v>
      </c>
      <c r="S32" s="502"/>
      <c r="T32" s="478">
        <f>SUM(T8:T31)</f>
        <v>0</v>
      </c>
      <c r="BF32" s="183"/>
      <c r="BG32" s="183"/>
      <c r="BH32" s="475"/>
      <c r="BM32" s="851">
        <f>SUM(BM8:BM31)</f>
        <v>0</v>
      </c>
      <c r="BN32" s="851">
        <f>SUM(BN8:BN31)</f>
        <v>0</v>
      </c>
      <c r="BO32" s="851">
        <f t="shared" ref="BO32:BQ32" si="22">SUM(BO8:BO31)</f>
        <v>0</v>
      </c>
      <c r="BP32" s="778">
        <f t="shared" si="22"/>
        <v>0</v>
      </c>
      <c r="BQ32" s="851">
        <f t="shared" si="22"/>
        <v>0</v>
      </c>
      <c r="BR32" s="782" t="s">
        <v>1097</v>
      </c>
      <c r="BS32" s="475"/>
      <c r="BW32" s="124" t="s">
        <v>41</v>
      </c>
      <c r="BX32" s="124">
        <v>50</v>
      </c>
      <c r="BY32" s="124">
        <v>140</v>
      </c>
      <c r="BZ32" s="124">
        <v>1</v>
      </c>
      <c r="CA32" s="124">
        <v>1.5</v>
      </c>
      <c r="CB32" s="641">
        <v>60</v>
      </c>
      <c r="CC32" s="393">
        <v>0.8</v>
      </c>
      <c r="CD32" s="352">
        <f t="shared" si="0"/>
        <v>40</v>
      </c>
    </row>
    <row r="33" spans="1:82" ht="24.75" customHeight="1" x14ac:dyDescent="0.25">
      <c r="A33" s="118"/>
      <c r="B33" s="112"/>
      <c r="D33" s="80"/>
      <c r="E33" s="112"/>
      <c r="J33" s="151"/>
      <c r="Q33" s="21"/>
      <c r="R33" s="1310" t="s">
        <v>1118</v>
      </c>
      <c r="T33" s="1310" t="s">
        <v>1119</v>
      </c>
      <c r="BG33" s="462" t="e">
        <f t="shared" ref="BG33:BK33" si="23">BM33</f>
        <v>#DIV/0!</v>
      </c>
      <c r="BH33" s="462" t="e">
        <f t="shared" si="23"/>
        <v>#DIV/0!</v>
      </c>
      <c r="BI33" s="462" t="e">
        <f t="shared" si="23"/>
        <v>#DIV/0!</v>
      </c>
      <c r="BJ33" s="777" t="e">
        <f t="shared" si="23"/>
        <v>#DIV/0!</v>
      </c>
      <c r="BK33" s="308" t="e">
        <f t="shared" si="23"/>
        <v>#DIV/0!</v>
      </c>
      <c r="BM33" s="779" t="e">
        <f>BM32/$B32</f>
        <v>#DIV/0!</v>
      </c>
      <c r="BN33" s="308" t="e">
        <f>BN32/$B32</f>
        <v>#DIV/0!</v>
      </c>
      <c r="BO33" s="779" t="e">
        <f>BO32/$B32</f>
        <v>#DIV/0!</v>
      </c>
      <c r="BP33" s="777" t="e">
        <f>BP32/$B32</f>
        <v>#DIV/0!</v>
      </c>
      <c r="BQ33" s="308" t="e">
        <f>BQ32/$B32</f>
        <v>#DIV/0!</v>
      </c>
      <c r="BR33" s="782" t="s">
        <v>1076</v>
      </c>
      <c r="BW33" s="580" t="s">
        <v>708</v>
      </c>
      <c r="BX33" s="580">
        <v>350</v>
      </c>
      <c r="BY33" s="580">
        <v>180</v>
      </c>
      <c r="BZ33" s="580">
        <v>0.2</v>
      </c>
      <c r="CA33" s="580">
        <v>0.3</v>
      </c>
      <c r="CB33" s="641">
        <v>60</v>
      </c>
      <c r="CC33" s="393">
        <v>0.23</v>
      </c>
      <c r="CD33" s="352">
        <f t="shared" si="0"/>
        <v>80.5</v>
      </c>
    </row>
    <row r="34" spans="1:82" ht="56.25" customHeight="1" thickBot="1" x14ac:dyDescent="0.3">
      <c r="A34" s="80"/>
      <c r="B34" s="770"/>
      <c r="D34" s="80"/>
      <c r="E34" s="112"/>
      <c r="J34" s="151"/>
      <c r="P34" s="357"/>
      <c r="Q34" s="804"/>
      <c r="R34" s="1311"/>
      <c r="S34" s="476"/>
      <c r="T34" s="1311"/>
      <c r="U34" s="611"/>
      <c r="V34" s="611"/>
      <c r="W34" s="611"/>
      <c r="X34" s="611"/>
      <c r="Y34" s="611"/>
      <c r="Z34" s="611"/>
      <c r="AA34" s="611"/>
      <c r="AB34" s="611"/>
      <c r="AC34" s="611"/>
      <c r="AD34" s="611"/>
      <c r="AE34" s="611"/>
      <c r="AF34" s="611"/>
      <c r="AG34" s="611"/>
      <c r="AH34" s="611"/>
      <c r="AI34" s="611"/>
      <c r="AJ34" s="611"/>
      <c r="AK34" s="611"/>
      <c r="AL34" s="611"/>
      <c r="AM34" s="611"/>
      <c r="AN34" s="611"/>
      <c r="AO34" s="611"/>
      <c r="AP34" s="611"/>
      <c r="AQ34" s="611"/>
      <c r="AR34" s="611"/>
      <c r="AS34" s="611"/>
      <c r="AT34" s="611"/>
      <c r="AU34" s="611"/>
      <c r="AV34" s="611"/>
      <c r="AW34" s="611"/>
      <c r="AX34" s="611"/>
      <c r="AY34" s="611"/>
      <c r="AZ34" s="611"/>
      <c r="BA34" s="611"/>
      <c r="BB34" s="611"/>
      <c r="BC34" s="611"/>
      <c r="BD34" s="611"/>
      <c r="BE34" s="611"/>
      <c r="BF34" s="611"/>
      <c r="BG34" s="775" t="s">
        <v>1096</v>
      </c>
      <c r="BH34" s="312" t="s">
        <v>1082</v>
      </c>
      <c r="BI34" s="312" t="s">
        <v>1083</v>
      </c>
      <c r="BJ34" s="699" t="s">
        <v>1268</v>
      </c>
      <c r="BK34" s="312" t="s">
        <v>290</v>
      </c>
      <c r="BL34" s="611"/>
      <c r="BM34" s="780" t="s">
        <v>1096</v>
      </c>
      <c r="BN34" s="312" t="s">
        <v>1082</v>
      </c>
      <c r="BO34" s="781" t="s">
        <v>1098</v>
      </c>
      <c r="BP34" s="699" t="s">
        <v>1268</v>
      </c>
      <c r="BQ34" s="312" t="s">
        <v>290</v>
      </c>
      <c r="BR34" s="122"/>
      <c r="BS34" s="611"/>
      <c r="BT34" s="122"/>
      <c r="BU34" s="122"/>
      <c r="BW34" s="598" t="s">
        <v>727</v>
      </c>
      <c r="BX34" s="598">
        <v>350</v>
      </c>
      <c r="BY34" s="598">
        <v>140</v>
      </c>
      <c r="BZ34" s="598">
        <v>0.15</v>
      </c>
      <c r="CA34" s="598">
        <v>0.23</v>
      </c>
      <c r="CB34" s="641">
        <v>60</v>
      </c>
      <c r="CC34" s="393">
        <v>0.23</v>
      </c>
      <c r="CD34" s="352">
        <f t="shared" si="0"/>
        <v>80.5</v>
      </c>
    </row>
    <row r="35" spans="1:82" ht="25.5" customHeight="1" x14ac:dyDescent="0.25">
      <c r="B35" s="112"/>
      <c r="D35" s="80"/>
      <c r="E35" s="112"/>
      <c r="J35" s="151"/>
      <c r="U35" s="611"/>
      <c r="V35" s="611"/>
      <c r="W35" s="611"/>
      <c r="X35" s="611"/>
      <c r="Y35" s="611"/>
      <c r="Z35" s="122"/>
      <c r="AA35" s="122"/>
      <c r="AB35" s="122"/>
      <c r="AC35" s="122"/>
      <c r="AD35" s="122"/>
      <c r="AE35" s="122"/>
      <c r="AF35" s="122"/>
      <c r="AG35" s="122"/>
      <c r="AH35" s="122"/>
      <c r="AI35" s="122"/>
      <c r="AJ35" s="122"/>
      <c r="AK35" s="122"/>
      <c r="AL35" s="122"/>
      <c r="AM35" s="122"/>
      <c r="AN35" s="122"/>
      <c r="AO35" s="122"/>
      <c r="AP35" s="122"/>
      <c r="AQ35" s="122"/>
      <c r="AR35" s="122"/>
      <c r="AS35" s="122"/>
      <c r="AT35" s="122"/>
      <c r="AU35" s="122"/>
      <c r="AV35" s="122"/>
      <c r="AW35" s="122"/>
      <c r="AX35" s="122"/>
      <c r="AY35" s="122"/>
      <c r="AZ35" s="122"/>
      <c r="BA35" s="122"/>
      <c r="BB35" s="122"/>
      <c r="BC35" s="122"/>
      <c r="BD35" s="122"/>
      <c r="BE35" s="122"/>
      <c r="BF35" s="122"/>
      <c r="BG35" s="122"/>
      <c r="BH35" s="122"/>
      <c r="BI35" s="122"/>
      <c r="BJ35" s="122"/>
      <c r="BK35" s="122"/>
      <c r="BL35" s="122"/>
      <c r="BM35" s="122"/>
      <c r="BN35" s="122"/>
      <c r="BO35" s="122"/>
      <c r="BP35" s="122"/>
      <c r="BQ35" s="122"/>
      <c r="BR35" s="122"/>
      <c r="BS35" s="122"/>
      <c r="BT35" s="122"/>
      <c r="BU35" s="122"/>
      <c r="BW35" s="598" t="s">
        <v>740</v>
      </c>
      <c r="BX35" s="598">
        <v>350</v>
      </c>
      <c r="BY35" s="598">
        <v>100</v>
      </c>
      <c r="BZ35" s="598">
        <v>0.1</v>
      </c>
      <c r="CA35" s="598">
        <v>0.15</v>
      </c>
      <c r="CB35" s="641">
        <v>60</v>
      </c>
      <c r="CC35" s="393">
        <v>0.23</v>
      </c>
      <c r="CD35" s="352">
        <f t="shared" si="0"/>
        <v>80.5</v>
      </c>
    </row>
    <row r="36" spans="1:82" ht="21" customHeight="1" x14ac:dyDescent="0.25">
      <c r="A36" s="1320" t="s">
        <v>1084</v>
      </c>
      <c r="B36" s="1321"/>
      <c r="C36" s="1328" t="s">
        <v>1085</v>
      </c>
      <c r="D36" s="1329"/>
      <c r="E36" s="1329"/>
      <c r="F36" s="1329"/>
      <c r="G36" s="1329"/>
      <c r="H36" s="1329"/>
      <c r="I36" s="1329"/>
      <c r="J36" s="1329"/>
      <c r="K36" s="1329"/>
      <c r="L36" s="1329"/>
      <c r="M36" s="1329"/>
      <c r="N36" s="1329"/>
      <c r="O36" s="1330"/>
      <c r="P36" s="1330"/>
      <c r="Q36" s="1330"/>
      <c r="R36" s="1330"/>
      <c r="S36" s="1331"/>
      <c r="T36" s="1332"/>
      <c r="U36" s="611"/>
      <c r="V36" s="611"/>
      <c r="W36" s="611"/>
      <c r="X36" s="611"/>
      <c r="Y36" s="611"/>
      <c r="Z36" s="122"/>
      <c r="AA36" s="122"/>
      <c r="AB36" s="122"/>
      <c r="AC36" s="122"/>
      <c r="AD36" s="122"/>
      <c r="AE36" s="122"/>
      <c r="AF36" s="122"/>
      <c r="AG36" s="122"/>
      <c r="AH36" s="122"/>
      <c r="AI36" s="122"/>
      <c r="AJ36" s="122"/>
      <c r="AK36" s="122"/>
      <c r="AL36" s="122"/>
      <c r="AM36" s="122"/>
      <c r="AN36" s="122"/>
      <c r="AO36" s="122"/>
      <c r="AP36" s="122"/>
      <c r="AQ36" s="122"/>
      <c r="AR36" s="122"/>
      <c r="AS36" s="122"/>
      <c r="AT36" s="122"/>
      <c r="AU36" s="122"/>
      <c r="AV36" s="122"/>
      <c r="AW36" s="122"/>
      <c r="AX36" s="122"/>
      <c r="AY36" s="122"/>
      <c r="AZ36" s="122"/>
      <c r="BA36" s="122"/>
      <c r="BB36" s="122"/>
      <c r="BC36" s="122"/>
      <c r="BD36" s="122"/>
      <c r="BE36" s="122"/>
      <c r="BF36" s="122"/>
      <c r="BG36" s="122"/>
      <c r="BH36" s="122"/>
      <c r="BI36" s="122"/>
      <c r="BJ36" s="122"/>
      <c r="BK36" s="122"/>
      <c r="BL36" s="122"/>
      <c r="BM36" s="122"/>
      <c r="BN36" s="122"/>
      <c r="BO36" s="122"/>
      <c r="BP36" s="122"/>
      <c r="BQ36" s="122"/>
      <c r="BR36" s="122"/>
      <c r="BS36" s="122"/>
      <c r="BT36" s="122"/>
      <c r="BU36" s="122"/>
      <c r="BW36" s="240" t="s">
        <v>762</v>
      </c>
      <c r="BX36" s="240">
        <v>30</v>
      </c>
      <c r="BY36" s="240">
        <v>190</v>
      </c>
      <c r="BZ36" s="240">
        <v>2</v>
      </c>
      <c r="CA36" s="240">
        <v>3</v>
      </c>
      <c r="CB36" s="641">
        <v>60</v>
      </c>
      <c r="CC36" s="393">
        <v>1.8</v>
      </c>
      <c r="CD36" s="352">
        <f t="shared" si="0"/>
        <v>54</v>
      </c>
    </row>
    <row r="37" spans="1:82" ht="21" customHeight="1" x14ac:dyDescent="0.25">
      <c r="A37" s="1322"/>
      <c r="B37" s="1323"/>
      <c r="C37" s="1333"/>
      <c r="D37" s="1334"/>
      <c r="E37" s="1334"/>
      <c r="F37" s="1334"/>
      <c r="G37" s="1334"/>
      <c r="H37" s="1334"/>
      <c r="I37" s="1334"/>
      <c r="J37" s="1334"/>
      <c r="K37" s="1334"/>
      <c r="L37" s="1334"/>
      <c r="M37" s="1334"/>
      <c r="N37" s="1334"/>
      <c r="O37" s="1335"/>
      <c r="P37" s="1335"/>
      <c r="Q37" s="1335"/>
      <c r="R37" s="1335"/>
      <c r="S37" s="1336"/>
      <c r="T37" s="1337"/>
      <c r="U37" s="611"/>
      <c r="V37" s="611"/>
      <c r="W37" s="611"/>
      <c r="X37" s="611"/>
      <c r="Y37" s="611"/>
      <c r="Z37" s="122"/>
      <c r="AA37" s="122"/>
      <c r="AB37" s="122"/>
      <c r="AC37" s="122"/>
      <c r="AD37" s="122"/>
      <c r="AE37" s="122"/>
      <c r="AF37" s="122"/>
      <c r="AG37" s="122"/>
      <c r="AH37" s="122"/>
      <c r="AI37" s="122"/>
      <c r="AJ37" s="122"/>
      <c r="AK37" s="122"/>
      <c r="AL37" s="122"/>
      <c r="AM37" s="122"/>
      <c r="AN37" s="122"/>
      <c r="AO37" s="122"/>
      <c r="AP37" s="122"/>
      <c r="AQ37" s="122"/>
      <c r="AR37" s="122"/>
      <c r="AS37" s="122"/>
      <c r="AT37" s="122"/>
      <c r="AU37" s="122"/>
      <c r="AV37" s="122"/>
      <c r="AW37" s="122"/>
      <c r="AX37" s="122"/>
      <c r="AY37" s="122"/>
      <c r="AZ37" s="122"/>
      <c r="BA37" s="122"/>
      <c r="BB37" s="122"/>
      <c r="BC37" s="122"/>
      <c r="BD37" s="122"/>
      <c r="BE37" s="122"/>
      <c r="BF37" s="122"/>
      <c r="BG37" s="122"/>
      <c r="BH37" s="122"/>
      <c r="BI37" s="122"/>
      <c r="BJ37" s="122"/>
      <c r="BK37" s="122"/>
      <c r="BL37" s="122"/>
      <c r="BM37" s="122"/>
      <c r="BN37" s="122"/>
      <c r="BO37" s="122"/>
      <c r="BP37" s="122"/>
      <c r="BQ37" s="122"/>
      <c r="BR37" s="122"/>
      <c r="BS37" s="122"/>
      <c r="BT37" s="122"/>
      <c r="BU37" s="122"/>
      <c r="BW37" s="124" t="s">
        <v>687</v>
      </c>
      <c r="BX37" s="124">
        <v>60</v>
      </c>
      <c r="BY37" s="597">
        <v>160</v>
      </c>
      <c r="BZ37" s="124">
        <v>1</v>
      </c>
      <c r="CA37" s="124">
        <v>1.5</v>
      </c>
      <c r="CB37" s="641">
        <v>60</v>
      </c>
      <c r="CC37" s="393">
        <v>0.8</v>
      </c>
      <c r="CD37" s="352">
        <f t="shared" si="0"/>
        <v>48</v>
      </c>
    </row>
    <row r="38" spans="1:82" ht="21" customHeight="1" x14ac:dyDescent="0.25">
      <c r="A38" s="1324"/>
      <c r="B38" s="1325"/>
      <c r="C38" s="1338"/>
      <c r="D38" s="1335"/>
      <c r="E38" s="1335"/>
      <c r="F38" s="1335"/>
      <c r="G38" s="1335"/>
      <c r="H38" s="1335"/>
      <c r="I38" s="1335"/>
      <c r="J38" s="1335"/>
      <c r="K38" s="1335"/>
      <c r="L38" s="1335"/>
      <c r="M38" s="1335"/>
      <c r="N38" s="1335"/>
      <c r="O38" s="1335"/>
      <c r="P38" s="1335"/>
      <c r="Q38" s="1335"/>
      <c r="R38" s="1335"/>
      <c r="S38" s="1336"/>
      <c r="T38" s="1337"/>
      <c r="U38" s="611"/>
      <c r="V38" s="611"/>
      <c r="W38" s="611"/>
      <c r="X38" s="611"/>
      <c r="Y38" s="611"/>
      <c r="Z38" s="122"/>
      <c r="AA38" s="122"/>
      <c r="AB38" s="122"/>
      <c r="AC38" s="122"/>
      <c r="AD38" s="122"/>
      <c r="AE38" s="122"/>
      <c r="AF38" s="122"/>
      <c r="AG38" s="122"/>
      <c r="AH38" s="122"/>
      <c r="AI38" s="122"/>
      <c r="AJ38" s="122"/>
      <c r="AK38" s="122"/>
      <c r="AL38" s="122"/>
      <c r="AM38" s="122"/>
      <c r="AN38" s="122"/>
      <c r="AO38" s="122"/>
      <c r="AP38" s="122"/>
      <c r="AQ38" s="122"/>
      <c r="AR38" s="122"/>
      <c r="AS38" s="122"/>
      <c r="AT38" s="122"/>
      <c r="AU38" s="122"/>
      <c r="AV38" s="122"/>
      <c r="AW38" s="122"/>
      <c r="AX38" s="122"/>
      <c r="AY38" s="122"/>
      <c r="AZ38" s="122"/>
      <c r="BA38" s="122"/>
      <c r="BB38" s="122"/>
      <c r="BC38" s="122"/>
      <c r="BD38" s="122"/>
      <c r="BE38" s="122"/>
      <c r="BF38" s="122"/>
      <c r="BG38" s="122"/>
      <c r="BH38" s="122"/>
      <c r="BI38" s="122"/>
      <c r="BJ38" s="122"/>
      <c r="BK38" s="122"/>
      <c r="BL38" s="122"/>
      <c r="BM38" s="122"/>
      <c r="BS38" s="122"/>
      <c r="BT38" s="122"/>
      <c r="BU38" s="122"/>
      <c r="BW38" s="598" t="s">
        <v>688</v>
      </c>
      <c r="BX38" s="598">
        <v>60</v>
      </c>
      <c r="BY38" s="598">
        <v>180</v>
      </c>
      <c r="BZ38" s="124">
        <v>1</v>
      </c>
      <c r="CA38" s="124">
        <v>1.5</v>
      </c>
      <c r="CB38" s="641">
        <v>60</v>
      </c>
      <c r="CC38" s="393">
        <v>0.8</v>
      </c>
      <c r="CD38" s="352">
        <f t="shared" si="0"/>
        <v>48</v>
      </c>
    </row>
    <row r="39" spans="1:82" ht="21" customHeight="1" x14ac:dyDescent="0.25">
      <c r="A39" s="1324"/>
      <c r="B39" s="1325"/>
      <c r="C39" s="1338"/>
      <c r="D39" s="1335"/>
      <c r="E39" s="1335"/>
      <c r="F39" s="1335"/>
      <c r="G39" s="1335"/>
      <c r="H39" s="1335"/>
      <c r="I39" s="1335"/>
      <c r="J39" s="1335"/>
      <c r="K39" s="1335"/>
      <c r="L39" s="1335"/>
      <c r="M39" s="1335"/>
      <c r="N39" s="1335"/>
      <c r="O39" s="1335"/>
      <c r="P39" s="1335"/>
      <c r="Q39" s="1335"/>
      <c r="R39" s="1335"/>
      <c r="S39" s="1336"/>
      <c r="T39" s="1337"/>
      <c r="BW39" s="580" t="s">
        <v>685</v>
      </c>
      <c r="BX39" s="580">
        <v>70</v>
      </c>
      <c r="BY39" s="580">
        <v>220</v>
      </c>
      <c r="BZ39" s="580">
        <v>1</v>
      </c>
      <c r="CA39" s="580">
        <v>1.5</v>
      </c>
      <c r="CB39" s="393">
        <v>60</v>
      </c>
      <c r="CC39" s="393">
        <v>0.8</v>
      </c>
      <c r="CD39" s="352">
        <f t="shared" si="0"/>
        <v>56</v>
      </c>
    </row>
    <row r="40" spans="1:82" ht="21" customHeight="1" x14ac:dyDescent="0.25">
      <c r="A40" s="1326"/>
      <c r="B40" s="1327"/>
      <c r="C40" s="1339"/>
      <c r="D40" s="1340"/>
      <c r="E40" s="1340"/>
      <c r="F40" s="1340"/>
      <c r="G40" s="1340"/>
      <c r="H40" s="1340"/>
      <c r="I40" s="1340"/>
      <c r="J40" s="1340"/>
      <c r="K40" s="1340"/>
      <c r="L40" s="1340"/>
      <c r="M40" s="1340"/>
      <c r="N40" s="1340"/>
      <c r="O40" s="1340"/>
      <c r="P40" s="1340"/>
      <c r="Q40" s="1340"/>
      <c r="R40" s="1340"/>
      <c r="S40" s="1341"/>
      <c r="T40" s="1342"/>
      <c r="BW40" s="124" t="s">
        <v>694</v>
      </c>
      <c r="BX40" s="124">
        <v>30</v>
      </c>
      <c r="BY40" s="592">
        <v>120</v>
      </c>
      <c r="BZ40" s="594">
        <v>2</v>
      </c>
      <c r="CA40" s="594">
        <v>3</v>
      </c>
      <c r="CB40" s="641">
        <v>90</v>
      </c>
      <c r="CC40" s="393">
        <v>1.6</v>
      </c>
      <c r="CD40" s="352">
        <f t="shared" si="0"/>
        <v>48</v>
      </c>
    </row>
    <row r="41" spans="1:82" ht="21.75" customHeight="1" x14ac:dyDescent="0.25">
      <c r="BW41" s="580" t="s">
        <v>766</v>
      </c>
      <c r="BX41" s="580">
        <v>400</v>
      </c>
      <c r="BY41" s="580">
        <v>140</v>
      </c>
      <c r="BZ41" s="580">
        <v>0.2</v>
      </c>
      <c r="CA41" s="580">
        <v>0.3</v>
      </c>
      <c r="CB41" s="641">
        <v>60</v>
      </c>
      <c r="CC41" s="393">
        <v>0.2</v>
      </c>
      <c r="CD41" s="352">
        <f t="shared" si="0"/>
        <v>80</v>
      </c>
    </row>
    <row r="42" spans="1:82" ht="21.75" customHeight="1" x14ac:dyDescent="0.25">
      <c r="A42" s="1320" t="s">
        <v>617</v>
      </c>
      <c r="B42" s="1321"/>
      <c r="C42" s="1347" t="s">
        <v>1086</v>
      </c>
      <c r="D42" s="1281"/>
      <c r="E42" s="1281"/>
      <c r="F42" s="1281"/>
      <c r="G42" s="1281"/>
      <c r="H42" s="1281"/>
      <c r="I42" s="1281"/>
      <c r="J42" s="1281"/>
      <c r="K42" s="1281"/>
      <c r="L42" s="1281"/>
      <c r="M42" s="1281"/>
      <c r="N42" s="1281"/>
      <c r="O42" s="1281"/>
      <c r="P42" s="1281"/>
      <c r="Q42" s="1348"/>
      <c r="R42" s="1348"/>
      <c r="S42" s="1349"/>
      <c r="T42" s="1349"/>
      <c r="BW42" s="240" t="s">
        <v>252</v>
      </c>
      <c r="BX42" s="240">
        <v>450</v>
      </c>
      <c r="BY42" s="240">
        <v>200</v>
      </c>
      <c r="BZ42" s="240">
        <v>0.2</v>
      </c>
      <c r="CA42" s="240">
        <v>0.3</v>
      </c>
      <c r="CB42" s="641">
        <v>60</v>
      </c>
      <c r="CC42" s="393">
        <v>0.18</v>
      </c>
      <c r="CD42" s="352">
        <f t="shared" si="0"/>
        <v>81</v>
      </c>
    </row>
    <row r="43" spans="1:82" ht="21.75" customHeight="1" x14ac:dyDescent="0.25">
      <c r="A43" s="1322"/>
      <c r="B43" s="1323"/>
      <c r="C43" s="1281"/>
      <c r="D43" s="1281"/>
      <c r="E43" s="1281"/>
      <c r="F43" s="1281"/>
      <c r="G43" s="1281"/>
      <c r="H43" s="1281"/>
      <c r="I43" s="1281"/>
      <c r="J43" s="1281"/>
      <c r="K43" s="1281"/>
      <c r="L43" s="1281"/>
      <c r="M43" s="1281"/>
      <c r="N43" s="1281"/>
      <c r="O43" s="1281"/>
      <c r="P43" s="1281"/>
      <c r="Q43" s="1348"/>
      <c r="R43" s="1348"/>
      <c r="S43" s="1349"/>
      <c r="T43" s="1349"/>
      <c r="BW43" s="80" t="s">
        <v>1300</v>
      </c>
      <c r="BX43" s="124">
        <v>300</v>
      </c>
      <c r="BY43" s="124">
        <v>205</v>
      </c>
      <c r="BZ43" s="124">
        <v>0.33300000000000002</v>
      </c>
      <c r="CA43" s="124">
        <v>0.33300000000000002</v>
      </c>
      <c r="CB43" s="641">
        <v>30</v>
      </c>
      <c r="CC43" s="393">
        <v>0.115</v>
      </c>
      <c r="CD43" s="352">
        <f t="shared" si="0"/>
        <v>34.5</v>
      </c>
    </row>
    <row r="44" spans="1:82" ht="21.75" customHeight="1" x14ac:dyDescent="0.25">
      <c r="A44" s="1343"/>
      <c r="B44" s="1344"/>
      <c r="C44" s="1281"/>
      <c r="D44" s="1281"/>
      <c r="E44" s="1281"/>
      <c r="F44" s="1281"/>
      <c r="G44" s="1281"/>
      <c r="H44" s="1281"/>
      <c r="I44" s="1281"/>
      <c r="J44" s="1281"/>
      <c r="K44" s="1281"/>
      <c r="L44" s="1281"/>
      <c r="M44" s="1281"/>
      <c r="N44" s="1281"/>
      <c r="O44" s="1281"/>
      <c r="P44" s="1281"/>
      <c r="Q44" s="1348"/>
      <c r="R44" s="1348"/>
      <c r="S44" s="1349"/>
      <c r="T44" s="1349"/>
      <c r="BW44" s="240" t="s">
        <v>700</v>
      </c>
      <c r="BX44" s="240">
        <v>450</v>
      </c>
      <c r="BY44" s="240">
        <v>180</v>
      </c>
      <c r="BZ44" s="240">
        <v>0.2</v>
      </c>
      <c r="CA44" s="240">
        <v>0.3</v>
      </c>
      <c r="CB44" s="641">
        <v>90</v>
      </c>
      <c r="CC44" s="596">
        <v>0.18</v>
      </c>
      <c r="CD44" s="352">
        <f t="shared" si="0"/>
        <v>81</v>
      </c>
    </row>
    <row r="45" spans="1:82" ht="15.75" customHeight="1" x14ac:dyDescent="0.25">
      <c r="A45" s="1345"/>
      <c r="B45" s="1346"/>
      <c r="C45" s="1347" t="s">
        <v>594</v>
      </c>
      <c r="D45" s="1281"/>
      <c r="E45" s="1281"/>
      <c r="F45" s="1281"/>
      <c r="G45" s="1281"/>
      <c r="H45" s="1281"/>
      <c r="I45" s="1281"/>
      <c r="J45" s="1281"/>
      <c r="K45" s="1281"/>
      <c r="L45" s="1281"/>
      <c r="M45" s="1281"/>
      <c r="N45" s="1281"/>
      <c r="O45" s="1348"/>
      <c r="P45" s="1348"/>
      <c r="Q45" s="1348"/>
      <c r="R45" s="1348"/>
      <c r="S45" s="1349"/>
      <c r="T45" s="1349"/>
      <c r="BW45" s="644" t="s">
        <v>773</v>
      </c>
      <c r="BX45" s="644">
        <v>30</v>
      </c>
      <c r="BY45" s="644">
        <v>100</v>
      </c>
      <c r="BZ45" s="644">
        <v>2</v>
      </c>
      <c r="CA45" s="644">
        <v>3</v>
      </c>
      <c r="CB45" s="393">
        <v>60</v>
      </c>
      <c r="CC45" s="393">
        <v>1.3</v>
      </c>
      <c r="CD45" s="352">
        <f t="shared" si="0"/>
        <v>39</v>
      </c>
    </row>
    <row r="46" spans="1:82" ht="12.75" customHeight="1" x14ac:dyDescent="0.25">
      <c r="BW46" s="598" t="s">
        <v>775</v>
      </c>
      <c r="BX46" s="598">
        <v>30</v>
      </c>
      <c r="BY46" s="598">
        <v>260</v>
      </c>
      <c r="BZ46" s="598">
        <v>5</v>
      </c>
      <c r="CA46" s="598">
        <v>7.5</v>
      </c>
      <c r="CB46" s="598">
        <v>60</v>
      </c>
      <c r="CC46" s="598">
        <v>1.3</v>
      </c>
      <c r="CD46" s="352">
        <f t="shared" si="0"/>
        <v>39</v>
      </c>
    </row>
    <row r="47" spans="1:82" ht="12.75" customHeight="1" x14ac:dyDescent="0.25">
      <c r="BW47" s="240" t="s">
        <v>699</v>
      </c>
      <c r="BX47" s="240">
        <v>500</v>
      </c>
      <c r="BY47" s="240">
        <v>150</v>
      </c>
      <c r="BZ47" s="240">
        <v>0.2</v>
      </c>
      <c r="CA47" s="224">
        <v>0.3</v>
      </c>
      <c r="CB47" s="641">
        <v>90</v>
      </c>
      <c r="CC47" s="393">
        <v>0.1</v>
      </c>
      <c r="CD47" s="352">
        <f t="shared" si="0"/>
        <v>50</v>
      </c>
    </row>
    <row r="48" spans="1:82" ht="12.75" customHeight="1" x14ac:dyDescent="0.25">
      <c r="BW48" s="124" t="s">
        <v>92</v>
      </c>
      <c r="BX48" s="124">
        <v>70</v>
      </c>
      <c r="BY48" s="124">
        <v>180</v>
      </c>
      <c r="BZ48" s="124">
        <v>1</v>
      </c>
      <c r="CA48" s="124">
        <v>1.5</v>
      </c>
      <c r="CB48" s="641">
        <v>90</v>
      </c>
      <c r="CC48" s="393">
        <v>0.8</v>
      </c>
      <c r="CD48" s="352">
        <f t="shared" si="0"/>
        <v>56</v>
      </c>
    </row>
    <row r="49" spans="22:82" ht="17.25" customHeight="1" x14ac:dyDescent="0.25">
      <c r="BW49" s="580" t="s">
        <v>765</v>
      </c>
      <c r="BX49" s="580">
        <v>350</v>
      </c>
      <c r="BY49" s="580">
        <v>210</v>
      </c>
      <c r="BZ49" s="580">
        <v>0.2</v>
      </c>
      <c r="CA49" s="580">
        <v>0.3</v>
      </c>
      <c r="CB49" s="641">
        <v>90</v>
      </c>
      <c r="CC49" s="393">
        <v>0.23</v>
      </c>
      <c r="CD49" s="352">
        <f t="shared" si="0"/>
        <v>80.5</v>
      </c>
    </row>
    <row r="50" spans="22:82" ht="15.75" customHeight="1" x14ac:dyDescent="0.25">
      <c r="BW50" s="580" t="s">
        <v>767</v>
      </c>
      <c r="BX50" s="580">
        <v>350</v>
      </c>
      <c r="BY50" s="580">
        <v>180</v>
      </c>
      <c r="BZ50" s="580">
        <v>0.2</v>
      </c>
      <c r="CA50" s="580">
        <v>0.3</v>
      </c>
      <c r="CB50" s="641">
        <v>90</v>
      </c>
      <c r="CC50" s="393">
        <v>0.23</v>
      </c>
      <c r="CD50" s="352">
        <f t="shared" si="0"/>
        <v>80.5</v>
      </c>
    </row>
    <row r="51" spans="22:82" ht="15.75" customHeight="1" x14ac:dyDescent="0.25">
      <c r="BW51" s="598" t="s">
        <v>726</v>
      </c>
      <c r="BX51" s="598">
        <v>350</v>
      </c>
      <c r="BY51" s="598">
        <v>140</v>
      </c>
      <c r="BZ51" s="598">
        <v>0.15</v>
      </c>
      <c r="CA51" s="598">
        <v>0.23</v>
      </c>
      <c r="CB51" s="641">
        <v>90</v>
      </c>
      <c r="CC51" s="393">
        <v>0.23</v>
      </c>
      <c r="CD51" s="352">
        <f t="shared" si="0"/>
        <v>80.5</v>
      </c>
    </row>
    <row r="52" spans="22:82" ht="15.75" customHeight="1" x14ac:dyDescent="0.25">
      <c r="V52" s="147"/>
      <c r="W52" s="147"/>
      <c r="BW52" s="598" t="s">
        <v>741</v>
      </c>
      <c r="BX52" s="598">
        <v>350</v>
      </c>
      <c r="BY52" s="598">
        <v>100</v>
      </c>
      <c r="BZ52" s="598">
        <v>0.1</v>
      </c>
      <c r="CA52" s="598">
        <v>0.15</v>
      </c>
      <c r="CB52" s="641">
        <v>90</v>
      </c>
      <c r="CC52" s="393">
        <v>0.23</v>
      </c>
      <c r="CD52" s="352">
        <f t="shared" si="0"/>
        <v>80.5</v>
      </c>
    </row>
    <row r="53" spans="22:82" ht="15.75" customHeight="1" x14ac:dyDescent="0.25">
      <c r="AE53" s="124"/>
      <c r="AF53" s="124"/>
      <c r="AG53" s="124"/>
      <c r="BW53" s="124" t="s">
        <v>703</v>
      </c>
      <c r="BX53" s="124">
        <v>40</v>
      </c>
      <c r="BY53" s="124">
        <v>200</v>
      </c>
      <c r="BZ53" s="124">
        <v>2</v>
      </c>
      <c r="CA53" s="124">
        <v>3</v>
      </c>
      <c r="CB53" s="641">
        <v>90</v>
      </c>
      <c r="CC53" s="393">
        <v>1.8</v>
      </c>
      <c r="CD53" s="352">
        <f t="shared" si="0"/>
        <v>72</v>
      </c>
    </row>
    <row r="54" spans="22:82" ht="15.75" customHeight="1" x14ac:dyDescent="0.25">
      <c r="AE54" s="124"/>
      <c r="AF54" s="124"/>
      <c r="AG54" s="124"/>
      <c r="BW54" s="124" t="s">
        <v>157</v>
      </c>
      <c r="BX54" s="124">
        <v>70</v>
      </c>
      <c r="BY54" s="124">
        <v>170</v>
      </c>
      <c r="BZ54" s="124">
        <v>1</v>
      </c>
      <c r="CA54" s="124">
        <v>1.5</v>
      </c>
      <c r="CB54" s="641">
        <v>90</v>
      </c>
      <c r="CC54" s="393">
        <v>0.8</v>
      </c>
      <c r="CD54" s="352">
        <f t="shared" si="0"/>
        <v>56</v>
      </c>
    </row>
    <row r="55" spans="22:82" ht="15.75" customHeight="1" x14ac:dyDescent="0.25">
      <c r="AE55" s="124"/>
      <c r="AF55" s="124"/>
      <c r="AG55" s="124"/>
      <c r="BW55" s="124" t="s">
        <v>156</v>
      </c>
      <c r="BX55" s="124">
        <v>70</v>
      </c>
      <c r="BY55" s="124">
        <v>190</v>
      </c>
      <c r="BZ55" s="124">
        <v>1</v>
      </c>
      <c r="CA55" s="124">
        <v>1.5</v>
      </c>
      <c r="CB55" s="641">
        <v>90</v>
      </c>
      <c r="CC55" s="393">
        <v>0.8</v>
      </c>
      <c r="CD55" s="352">
        <f t="shared" si="0"/>
        <v>56</v>
      </c>
    </row>
    <row r="56" spans="22:82" ht="15.75" customHeight="1" x14ac:dyDescent="0.25">
      <c r="AE56" s="124"/>
      <c r="AF56" s="124"/>
      <c r="AG56" s="124"/>
      <c r="AI56" s="124"/>
      <c r="AJ56" s="124"/>
      <c r="BW56" s="124" t="s">
        <v>222</v>
      </c>
      <c r="BX56" s="124">
        <v>80</v>
      </c>
      <c r="BY56" s="124">
        <v>230</v>
      </c>
      <c r="BZ56" s="124">
        <v>1</v>
      </c>
      <c r="CA56" s="124">
        <v>1.5</v>
      </c>
      <c r="CB56" s="641">
        <v>90</v>
      </c>
      <c r="CC56" s="393">
        <v>0.8</v>
      </c>
      <c r="CD56" s="352">
        <f t="shared" si="0"/>
        <v>64</v>
      </c>
    </row>
    <row r="57" spans="22:82" ht="15.75" customHeight="1" x14ac:dyDescent="0.25">
      <c r="AE57" s="124"/>
      <c r="AF57" s="124"/>
      <c r="AG57" s="124"/>
      <c r="BW57" s="124" t="s">
        <v>686</v>
      </c>
      <c r="BX57" s="124">
        <v>80</v>
      </c>
      <c r="BY57" s="124">
        <v>210</v>
      </c>
      <c r="BZ57" s="124">
        <v>1</v>
      </c>
      <c r="CA57" s="124">
        <v>1.5</v>
      </c>
      <c r="CB57" s="641">
        <v>90</v>
      </c>
      <c r="CC57" s="393">
        <v>0.8</v>
      </c>
      <c r="CD57" s="352">
        <f t="shared" si="0"/>
        <v>64</v>
      </c>
    </row>
    <row r="58" spans="22:82" ht="15.75" customHeight="1" x14ac:dyDescent="0.25">
      <c r="V58" s="166"/>
      <c r="W58" s="166"/>
      <c r="AE58" s="124"/>
      <c r="AF58" s="124"/>
      <c r="AG58" s="124"/>
      <c r="BW58" s="124" t="s">
        <v>223</v>
      </c>
      <c r="BX58" s="124">
        <v>80</v>
      </c>
      <c r="BY58" s="124">
        <v>260</v>
      </c>
      <c r="BZ58" s="124">
        <v>1</v>
      </c>
      <c r="CA58" s="124">
        <v>1.5</v>
      </c>
      <c r="CB58" s="641">
        <v>90</v>
      </c>
      <c r="CC58" s="393">
        <v>0.8</v>
      </c>
      <c r="CD58" s="352">
        <f t="shared" si="0"/>
        <v>64</v>
      </c>
    </row>
    <row r="59" spans="22:82" ht="15.75" customHeight="1" x14ac:dyDescent="0.25">
      <c r="V59" s="166"/>
      <c r="W59" s="166"/>
      <c r="BW59" s="580" t="s">
        <v>758</v>
      </c>
      <c r="BX59" s="580">
        <v>80</v>
      </c>
      <c r="BY59" s="580">
        <v>180</v>
      </c>
      <c r="BZ59" s="580">
        <v>1</v>
      </c>
      <c r="CA59" s="580">
        <v>1.5</v>
      </c>
      <c r="CB59" s="641">
        <v>90</v>
      </c>
      <c r="CC59" s="393">
        <v>0.8</v>
      </c>
      <c r="CD59" s="352">
        <f t="shared" si="0"/>
        <v>64</v>
      </c>
    </row>
    <row r="60" spans="22:82" ht="15.75" customHeight="1" x14ac:dyDescent="0.25">
      <c r="BT60" s="391"/>
      <c r="BU60" s="391"/>
      <c r="BW60" s="124" t="s">
        <v>126</v>
      </c>
      <c r="BX60" s="124">
        <v>650</v>
      </c>
      <c r="BY60" s="124">
        <v>170</v>
      </c>
      <c r="BZ60" s="593">
        <v>0.1</v>
      </c>
      <c r="CA60" s="593">
        <v>0.15</v>
      </c>
      <c r="CB60" s="641">
        <v>90</v>
      </c>
      <c r="CC60" s="393">
        <v>0.1</v>
      </c>
      <c r="CD60" s="352">
        <f t="shared" si="0"/>
        <v>65</v>
      </c>
    </row>
    <row r="61" spans="22:82" ht="15.75" customHeight="1" x14ac:dyDescent="0.25">
      <c r="BW61" s="124" t="s">
        <v>698</v>
      </c>
      <c r="BX61" s="124">
        <v>600</v>
      </c>
      <c r="BY61" s="124">
        <v>155</v>
      </c>
      <c r="BZ61" s="596">
        <v>0.16666700000000001</v>
      </c>
      <c r="CA61" s="596">
        <v>0.16666700000000001</v>
      </c>
      <c r="CB61" s="641">
        <v>60</v>
      </c>
      <c r="CC61" s="393">
        <v>0.08</v>
      </c>
      <c r="CD61" s="352">
        <f t="shared" si="0"/>
        <v>48</v>
      </c>
    </row>
    <row r="62" spans="22:82" ht="15.75" customHeight="1" x14ac:dyDescent="0.25">
      <c r="CC62" s="641"/>
    </row>
    <row r="63" spans="22:82" ht="15.75" customHeight="1" x14ac:dyDescent="0.25">
      <c r="BX63" s="60" t="s">
        <v>5</v>
      </c>
      <c r="CC63" s="641"/>
    </row>
    <row r="64" spans="22:82" ht="15.75" customHeight="1" x14ac:dyDescent="0.25">
      <c r="BW64" s="41" t="s">
        <v>6</v>
      </c>
      <c r="CC64" s="641"/>
    </row>
    <row r="65" spans="74:81" ht="15.75" customHeight="1" x14ac:dyDescent="0.25">
      <c r="BW65" s="17" t="s">
        <v>510</v>
      </c>
      <c r="BX65" s="124">
        <v>0</v>
      </c>
      <c r="CC65" s="641"/>
    </row>
    <row r="66" spans="74:81" ht="15.75" customHeight="1" x14ac:dyDescent="0.25">
      <c r="BW66" s="17" t="s">
        <v>22</v>
      </c>
      <c r="BX66" s="124">
        <v>10</v>
      </c>
    </row>
    <row r="67" spans="74:81" ht="15.75" customHeight="1" x14ac:dyDescent="0.25">
      <c r="BW67" s="17" t="s">
        <v>535</v>
      </c>
      <c r="BX67" s="124">
        <v>10</v>
      </c>
    </row>
    <row r="68" spans="74:81" ht="15.75" customHeight="1" x14ac:dyDescent="0.25">
      <c r="BW68" s="17" t="s">
        <v>7</v>
      </c>
      <c r="BX68" s="124">
        <v>10</v>
      </c>
    </row>
    <row r="69" spans="74:81" ht="15.75" customHeight="1" x14ac:dyDescent="0.25">
      <c r="BW69" s="17" t="s">
        <v>17</v>
      </c>
      <c r="BX69" s="124">
        <v>20</v>
      </c>
      <c r="BZ69" s="60"/>
    </row>
    <row r="70" spans="74:81" ht="15.75" customHeight="1" x14ac:dyDescent="0.25">
      <c r="BW70" s="17" t="s">
        <v>23</v>
      </c>
      <c r="BX70" s="124">
        <v>0</v>
      </c>
    </row>
    <row r="71" spans="74:81" ht="15.75" customHeight="1" x14ac:dyDescent="0.25">
      <c r="BW71" s="17" t="s">
        <v>20</v>
      </c>
      <c r="BX71" s="124">
        <v>20</v>
      </c>
    </row>
    <row r="72" spans="74:81" ht="15.75" customHeight="1" x14ac:dyDescent="0.25">
      <c r="BW72" s="17" t="s">
        <v>19</v>
      </c>
      <c r="BX72" s="124">
        <v>10</v>
      </c>
    </row>
    <row r="73" spans="74:81" ht="15.75" customHeight="1" x14ac:dyDescent="0.25">
      <c r="BW73" s="17" t="s">
        <v>536</v>
      </c>
      <c r="BX73" s="124">
        <v>0</v>
      </c>
    </row>
    <row r="74" spans="74:81" ht="15.75" customHeight="1" x14ac:dyDescent="0.25">
      <c r="BW74" s="17" t="s">
        <v>21</v>
      </c>
      <c r="BX74" s="124">
        <v>10</v>
      </c>
    </row>
    <row r="75" spans="74:81" ht="15.75" customHeight="1" x14ac:dyDescent="0.25">
      <c r="BW75" s="17" t="s">
        <v>18</v>
      </c>
      <c r="BX75" s="124">
        <v>20</v>
      </c>
    </row>
    <row r="76" spans="74:81" ht="15.75" customHeight="1" x14ac:dyDescent="0.25"/>
    <row r="77" spans="74:81" ht="15.75" customHeight="1" x14ac:dyDescent="0.25">
      <c r="BW77" s="41" t="s">
        <v>8</v>
      </c>
    </row>
    <row r="78" spans="74:81" ht="15.75" customHeight="1" x14ac:dyDescent="0.25">
      <c r="BW78" s="17" t="s">
        <v>25</v>
      </c>
      <c r="BX78" s="124">
        <v>0</v>
      </c>
    </row>
    <row r="79" spans="74:81" ht="15.75" customHeight="1" x14ac:dyDescent="0.25">
      <c r="BW79" s="17" t="s">
        <v>538</v>
      </c>
      <c r="BX79" s="124">
        <v>0</v>
      </c>
    </row>
    <row r="80" spans="74:81" ht="15.75" customHeight="1" x14ac:dyDescent="0.25">
      <c r="BV80" s="17"/>
      <c r="BW80" s="17" t="s">
        <v>537</v>
      </c>
      <c r="BX80" s="124">
        <v>20</v>
      </c>
    </row>
    <row r="81" spans="74:76" ht="15.75" customHeight="1" x14ac:dyDescent="0.25">
      <c r="BV81" s="17"/>
      <c r="BW81" s="17" t="s">
        <v>28</v>
      </c>
      <c r="BX81" s="124">
        <v>10</v>
      </c>
    </row>
    <row r="82" spans="74:76" ht="15.75" customHeight="1" x14ac:dyDescent="0.25">
      <c r="BW82" s="17" t="s">
        <v>540</v>
      </c>
      <c r="BX82" s="124">
        <v>10</v>
      </c>
    </row>
    <row r="83" spans="74:76" ht="15.75" customHeight="1" x14ac:dyDescent="0.25">
      <c r="BW83" s="17" t="s">
        <v>679</v>
      </c>
      <c r="BX83" s="124">
        <v>30</v>
      </c>
    </row>
    <row r="84" spans="74:76" ht="15.75" customHeight="1" x14ac:dyDescent="0.25">
      <c r="BW84" s="17" t="s">
        <v>539</v>
      </c>
      <c r="BX84" s="124">
        <v>40</v>
      </c>
    </row>
    <row r="85" spans="74:76" ht="15.75" customHeight="1" x14ac:dyDescent="0.25">
      <c r="BW85" s="17" t="s">
        <v>9</v>
      </c>
      <c r="BX85" s="124">
        <v>0</v>
      </c>
    </row>
    <row r="86" spans="74:76" ht="15.75" customHeight="1" x14ac:dyDescent="0.25">
      <c r="BW86" s="17" t="s">
        <v>10</v>
      </c>
      <c r="BX86" s="124">
        <v>10</v>
      </c>
    </row>
    <row r="87" spans="74:76" ht="15.75" customHeight="1" x14ac:dyDescent="0.25">
      <c r="BW87" s="17" t="s">
        <v>31</v>
      </c>
      <c r="BX87" s="124">
        <v>0</v>
      </c>
    </row>
    <row r="88" spans="74:76" ht="15.75" customHeight="1" x14ac:dyDescent="0.25"/>
    <row r="89" spans="74:76" ht="15.75" customHeight="1" x14ac:dyDescent="0.25">
      <c r="BW89" s="41" t="s">
        <v>159</v>
      </c>
    </row>
    <row r="90" spans="74:76" ht="15.75" customHeight="1" x14ac:dyDescent="0.25">
      <c r="BW90" s="17" t="s">
        <v>230</v>
      </c>
      <c r="BX90" s="124">
        <v>20</v>
      </c>
    </row>
    <row r="91" spans="74:76" ht="15.75" customHeight="1" x14ac:dyDescent="0.25">
      <c r="BW91" s="17" t="s">
        <v>160</v>
      </c>
      <c r="BX91" s="124">
        <v>0</v>
      </c>
    </row>
    <row r="92" spans="74:76" ht="15.75" customHeight="1" x14ac:dyDescent="0.25"/>
    <row r="93" spans="74:76" ht="15" customHeight="1" x14ac:dyDescent="0.25"/>
    <row r="94" spans="74:76" ht="58.5" customHeight="1" x14ac:dyDescent="0.25"/>
    <row r="95" spans="74:76" ht="36" customHeight="1" x14ac:dyDescent="0.25"/>
    <row r="96" spans="74:76" ht="15.75" customHeight="1" x14ac:dyDescent="0.25"/>
    <row r="97" ht="15.75" customHeight="1" x14ac:dyDescent="0.25"/>
    <row r="98" ht="15.75" customHeight="1" x14ac:dyDescent="0.25"/>
    <row r="99" ht="15.75" customHeight="1" x14ac:dyDescent="0.25"/>
    <row r="111" ht="17.25" customHeight="1" x14ac:dyDescent="0.25"/>
  </sheetData>
  <sheetProtection sheet="1" objects="1" scenarios="1" formatCells="0" formatColumns="0" formatRows="0" selectLockedCells="1"/>
  <mergeCells count="44">
    <mergeCell ref="C1:D1"/>
    <mergeCell ref="I1:J1"/>
    <mergeCell ref="L1:P3"/>
    <mergeCell ref="C2:D2"/>
    <mergeCell ref="E2:G3"/>
    <mergeCell ref="I2:J2"/>
    <mergeCell ref="BG2:BQ4"/>
    <mergeCell ref="C3:D3"/>
    <mergeCell ref="A4:T4"/>
    <mergeCell ref="V4:BE4"/>
    <mergeCell ref="A5:T5"/>
    <mergeCell ref="V5:BE5"/>
    <mergeCell ref="BG5:BK6"/>
    <mergeCell ref="BM5:BQ6"/>
    <mergeCell ref="A6:A7"/>
    <mergeCell ref="B6:B7"/>
    <mergeCell ref="AZ6:BE6"/>
    <mergeCell ref="V6:V7"/>
    <mergeCell ref="W6:W7"/>
    <mergeCell ref="X6:AC6"/>
    <mergeCell ref="AE6:AJ6"/>
    <mergeCell ref="Q6:R6"/>
    <mergeCell ref="S6:T6"/>
    <mergeCell ref="K6:K7"/>
    <mergeCell ref="L6:L7"/>
    <mergeCell ref="M6:M7"/>
    <mergeCell ref="N6:N7"/>
    <mergeCell ref="O6:O7"/>
    <mergeCell ref="A42:B45"/>
    <mergeCell ref="C42:T44"/>
    <mergeCell ref="C45:T45"/>
    <mergeCell ref="AL6:AQ6"/>
    <mergeCell ref="AS6:AX6"/>
    <mergeCell ref="P6:P7"/>
    <mergeCell ref="C6:C7"/>
    <mergeCell ref="D6:E6"/>
    <mergeCell ref="F6:G6"/>
    <mergeCell ref="H6:H7"/>
    <mergeCell ref="I6:I7"/>
    <mergeCell ref="J6:J7"/>
    <mergeCell ref="R33:R34"/>
    <mergeCell ref="T33:T34"/>
    <mergeCell ref="A36:B40"/>
    <mergeCell ref="C36:T40"/>
  </mergeCells>
  <dataValidations count="4">
    <dataValidation type="list" allowBlank="1" sqref="C8:C31" xr:uid="{0940026C-F828-4A97-8CA3-AB0842E80DDD}">
      <formula1>BW$3:BW$61</formula1>
    </dataValidation>
    <dataValidation type="list" allowBlank="1" sqref="N8:N31" xr:uid="{B3684AED-1FA3-46DD-8A7E-1EDD5DA6512E}">
      <formula1>BW$90:BW$91</formula1>
    </dataValidation>
    <dataValidation type="list" allowBlank="1" sqref="H8:H31" xr:uid="{BE9D364C-59C8-42B7-8D61-59BD65AA3ADE}">
      <formula1>BW$65:BW$75</formula1>
    </dataValidation>
    <dataValidation type="list" allowBlank="1" sqref="J8:J31" xr:uid="{A4491D93-7516-4B95-BBFF-1C4D301B7C85}">
      <formula1>BW$78:BW$87</formula1>
    </dataValidation>
  </dataValidations>
  <pageMargins left="0.78740157480314965" right="0.23622047244094491" top="0.74803149606299213" bottom="0.74803149606299213" header="0.31496062992125984" footer="0.31496062992125984"/>
  <pageSetup paperSize="9" scale="59" fitToHeight="0" orientation="landscape" horizontalDpi="4294967293" verticalDpi="4294967293" r:id="rId1"/>
  <rowBreaks count="1" manualBreakCount="1">
    <brk id="32" max="56" man="1"/>
  </rowBreaks>
  <colBreaks count="1" manualBreakCount="1">
    <brk id="21" max="31" man="1"/>
  </colBreaks>
  <extLst>
    <ext xmlns:x14="http://schemas.microsoft.com/office/spreadsheetml/2009/9/main" uri="{CCE6A557-97BC-4b89-ADB6-D9C93CAAB3DF}">
      <x14:dataValidations xmlns:xm="http://schemas.microsoft.com/office/excel/2006/main" count="1">
        <x14:dataValidation type="list" allowBlank="1" showInputMessage="1" showErrorMessage="1" xr:uid="{CB4608E4-A64E-490E-B97A-108BE23673B0}">
          <x14:formula1>
            <xm:f>Düngemittel!$B$6:$B$64</xm:f>
          </x14:formula1>
          <xm:sqref>Y8:Y31 AF8:AF31 AM8:AM31 AT8:AT31 BA8:BA31</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Tabelle31">
    <tabColor theme="0"/>
    <pageSetUpPr fitToPage="1"/>
  </sheetPr>
  <dimension ref="A1:M98"/>
  <sheetViews>
    <sheetView zoomScaleNormal="100" workbookViewId="0">
      <selection activeCell="C7" sqref="C7"/>
    </sheetView>
  </sheetViews>
  <sheetFormatPr baseColWidth="10" defaultRowHeight="15" x14ac:dyDescent="0.25"/>
  <cols>
    <col min="1" max="1" width="40.7109375" style="41" customWidth="1"/>
    <col min="2" max="2" width="39.28515625" style="112" customWidth="1"/>
    <col min="3" max="3" width="24" style="80" customWidth="1"/>
    <col min="4" max="4" width="29.85546875" style="15" customWidth="1"/>
    <col min="5" max="5" width="18" style="15" customWidth="1"/>
    <col min="6" max="6" width="32.42578125" style="15" customWidth="1"/>
    <col min="7" max="7" width="34.5703125" style="15" customWidth="1"/>
    <col min="8" max="8" width="24.140625" style="80" customWidth="1"/>
    <col min="9" max="9" width="21.85546875" style="15" customWidth="1"/>
    <col min="10" max="10" width="25.7109375" style="80" customWidth="1"/>
    <col min="11" max="11" width="17.85546875" style="80" customWidth="1"/>
    <col min="12" max="16384" width="11.42578125" style="15"/>
  </cols>
  <sheetData>
    <row r="1" spans="1:11" x14ac:dyDescent="0.25">
      <c r="B1" s="112" t="str">
        <f>'DüV-N-Ackerbau (1)'!C1</f>
        <v>Testbetrieb</v>
      </c>
      <c r="C1" s="112" t="str">
        <f>'DüV-N-Ackerbau (1)'!F1</f>
        <v>Erntejahr</v>
      </c>
      <c r="E1" s="11" t="s">
        <v>36</v>
      </c>
    </row>
    <row r="2" spans="1:11" x14ac:dyDescent="0.25">
      <c r="B2" s="112">
        <f>'DüV-N-Ackerbau (1)'!C2</f>
        <v>1</v>
      </c>
      <c r="C2" s="112">
        <f>'DüV-N-Ackerbau (1)'!G1</f>
        <v>2022</v>
      </c>
      <c r="E2" s="12" t="s">
        <v>34</v>
      </c>
    </row>
    <row r="3" spans="1:11" x14ac:dyDescent="0.25">
      <c r="B3" s="112">
        <f>'DüV-N-Ackerbau (1)'!C3</f>
        <v>123456</v>
      </c>
      <c r="C3" s="41"/>
    </row>
    <row r="4" spans="1:11" ht="6" customHeight="1" thickBot="1" x14ac:dyDescent="0.3"/>
    <row r="5" spans="1:11" ht="21.75" thickBot="1" x14ac:dyDescent="0.3">
      <c r="A5" s="1604" t="s">
        <v>113</v>
      </c>
      <c r="B5" s="1605"/>
      <c r="C5" s="1605"/>
      <c r="D5" s="1606"/>
    </row>
    <row r="6" spans="1:11" ht="48" thickBot="1" x14ac:dyDescent="0.3">
      <c r="A6" s="1607" t="s">
        <v>580</v>
      </c>
      <c r="B6" s="1608"/>
      <c r="C6" s="280" t="s">
        <v>579</v>
      </c>
      <c r="D6" s="346" t="s">
        <v>533</v>
      </c>
      <c r="G6" s="352"/>
      <c r="H6" s="351" t="s">
        <v>5</v>
      </c>
      <c r="I6" s="352"/>
      <c r="J6" s="352"/>
      <c r="K6" s="352"/>
    </row>
    <row r="7" spans="1:11" ht="15.75" x14ac:dyDescent="0.25">
      <c r="A7" s="59"/>
      <c r="B7" s="41" t="s">
        <v>678</v>
      </c>
      <c r="C7" s="323">
        <v>40</v>
      </c>
      <c r="D7" s="319"/>
      <c r="G7" s="351" t="s">
        <v>6</v>
      </c>
      <c r="H7" s="352"/>
      <c r="I7" s="352"/>
      <c r="J7" s="352" t="s">
        <v>159</v>
      </c>
      <c r="K7" s="352"/>
    </row>
    <row r="8" spans="1:11" ht="15.75" x14ac:dyDescent="0.25">
      <c r="A8" s="59"/>
      <c r="B8" s="41"/>
      <c r="C8" s="347" t="str">
        <f>IF(OR(C7&lt;20,C7&gt;100),"Sind Sie sicher?"," ")</f>
        <v xml:space="preserve"> </v>
      </c>
      <c r="D8" s="319"/>
      <c r="G8" s="352" t="s">
        <v>510</v>
      </c>
      <c r="H8" s="352">
        <v>0</v>
      </c>
      <c r="I8" s="352"/>
      <c r="J8" s="352" t="s">
        <v>160</v>
      </c>
      <c r="K8" s="352">
        <v>0</v>
      </c>
    </row>
    <row r="9" spans="1:11" ht="15.75" x14ac:dyDescent="0.25">
      <c r="A9" s="59"/>
      <c r="B9" s="41"/>
      <c r="C9" s="345" t="s">
        <v>4</v>
      </c>
      <c r="D9" s="319"/>
      <c r="G9" s="352" t="s">
        <v>22</v>
      </c>
      <c r="H9" s="352">
        <v>10</v>
      </c>
      <c r="I9" s="352"/>
      <c r="J9" s="352" t="s">
        <v>161</v>
      </c>
      <c r="K9" s="352">
        <v>20</v>
      </c>
    </row>
    <row r="10" spans="1:11" ht="15.75" x14ac:dyDescent="0.25">
      <c r="A10" s="59"/>
      <c r="B10" s="41" t="s">
        <v>37</v>
      </c>
      <c r="C10" s="345">
        <f>IF(C7&lt;=39,80+C7*3,(IF(C7&gt;=40,200+(C7-40)*2)))</f>
        <v>200</v>
      </c>
      <c r="D10" s="320"/>
      <c r="E10" s="41"/>
      <c r="G10" s="352" t="s">
        <v>535</v>
      </c>
      <c r="H10" s="352">
        <v>10</v>
      </c>
      <c r="I10" s="352"/>
      <c r="J10" s="352"/>
      <c r="K10" s="352"/>
    </row>
    <row r="11" spans="1:11" ht="18" x14ac:dyDescent="0.25">
      <c r="A11" s="59"/>
      <c r="B11" s="41" t="s">
        <v>38</v>
      </c>
      <c r="C11" s="359">
        <v>15</v>
      </c>
      <c r="D11" s="320"/>
      <c r="G11" s="352" t="s">
        <v>7</v>
      </c>
      <c r="H11" s="352">
        <v>10</v>
      </c>
      <c r="I11" s="352"/>
      <c r="J11" s="351" t="s">
        <v>115</v>
      </c>
      <c r="K11" s="352"/>
    </row>
    <row r="12" spans="1:11" ht="18" x14ac:dyDescent="0.25">
      <c r="A12" s="59"/>
      <c r="B12" s="41" t="s">
        <v>39</v>
      </c>
      <c r="C12" s="359">
        <v>10</v>
      </c>
      <c r="D12" s="320"/>
      <c r="G12" s="352" t="s">
        <v>17</v>
      </c>
      <c r="H12" s="352">
        <v>20</v>
      </c>
      <c r="I12" s="352"/>
      <c r="J12" s="352" t="s">
        <v>114</v>
      </c>
      <c r="K12" s="352">
        <v>15</v>
      </c>
    </row>
    <row r="13" spans="1:11" ht="18" x14ac:dyDescent="0.25">
      <c r="A13" s="59"/>
      <c r="B13" s="41" t="s">
        <v>40</v>
      </c>
      <c r="C13" s="359">
        <v>5</v>
      </c>
      <c r="D13" s="320"/>
      <c r="G13" s="352" t="s">
        <v>23</v>
      </c>
      <c r="H13" s="352">
        <v>0</v>
      </c>
      <c r="I13" s="352"/>
      <c r="J13" s="352" t="s">
        <v>116</v>
      </c>
      <c r="K13" s="352">
        <v>7</v>
      </c>
    </row>
    <row r="14" spans="1:11" x14ac:dyDescent="0.25">
      <c r="A14" s="59" t="s">
        <v>8</v>
      </c>
      <c r="B14" s="292" t="s">
        <v>31</v>
      </c>
      <c r="C14" s="46">
        <f>VLOOKUP(B14,G22:H32,2,FALSE)</f>
        <v>0</v>
      </c>
      <c r="D14" s="320"/>
      <c r="G14" s="352" t="s">
        <v>20</v>
      </c>
      <c r="H14" s="352">
        <v>20</v>
      </c>
      <c r="I14" s="352"/>
      <c r="J14" s="352" t="s">
        <v>117</v>
      </c>
      <c r="K14" s="352">
        <v>0</v>
      </c>
    </row>
    <row r="15" spans="1:11" x14ac:dyDescent="0.25">
      <c r="A15" s="59" t="s">
        <v>6</v>
      </c>
      <c r="B15" s="292" t="s">
        <v>510</v>
      </c>
      <c r="C15" s="46">
        <f>VLOOKUP(B15,G8:H18,2,FALSE)</f>
        <v>0</v>
      </c>
      <c r="D15" s="320"/>
      <c r="G15" s="352" t="s">
        <v>19</v>
      </c>
      <c r="H15" s="352">
        <v>10</v>
      </c>
      <c r="I15" s="352"/>
      <c r="J15" s="352" t="s">
        <v>118</v>
      </c>
      <c r="K15" s="352">
        <v>-15</v>
      </c>
    </row>
    <row r="16" spans="1:11" ht="15.75" x14ac:dyDescent="0.25">
      <c r="A16" s="59" t="s">
        <v>1073</v>
      </c>
      <c r="B16" s="112" t="s">
        <v>24</v>
      </c>
      <c r="C16" s="321"/>
      <c r="D16" s="320"/>
      <c r="E16" s="358" t="str">
        <f>IF(C16&gt;20,"Sind Sie sicher?"," ")</f>
        <v xml:space="preserve"> </v>
      </c>
      <c r="G16" s="352" t="s">
        <v>536</v>
      </c>
      <c r="H16" s="352">
        <v>0</v>
      </c>
      <c r="I16" s="352"/>
      <c r="J16" s="352" t="s">
        <v>119</v>
      </c>
      <c r="K16" s="352">
        <v>-25</v>
      </c>
    </row>
    <row r="17" spans="1:12" ht="15.75" thickBot="1" x14ac:dyDescent="0.3">
      <c r="A17" s="59" t="s">
        <v>159</v>
      </c>
      <c r="B17" s="292" t="s">
        <v>160</v>
      </c>
      <c r="C17" s="65">
        <f>VLOOKUP(B17,J8:K9,2,FALSE)</f>
        <v>0</v>
      </c>
      <c r="D17" s="293"/>
      <c r="G17" s="352" t="s">
        <v>21</v>
      </c>
      <c r="H17" s="352">
        <v>10</v>
      </c>
      <c r="I17" s="352"/>
      <c r="J17" s="352" t="s">
        <v>121</v>
      </c>
      <c r="K17" s="352">
        <v>-35</v>
      </c>
    </row>
    <row r="18" spans="1:12" ht="16.5" thickBot="1" x14ac:dyDescent="0.3">
      <c r="A18" s="242"/>
      <c r="B18" s="243" t="s">
        <v>475</v>
      </c>
      <c r="C18" s="239">
        <f>C10-SUM(C11:C17)</f>
        <v>170</v>
      </c>
      <c r="D18" s="244" t="s">
        <v>477</v>
      </c>
      <c r="G18" s="352" t="s">
        <v>18</v>
      </c>
      <c r="H18" s="352">
        <v>20</v>
      </c>
      <c r="I18" s="352"/>
      <c r="J18" s="352" t="s">
        <v>120</v>
      </c>
      <c r="K18" s="352">
        <v>-45</v>
      </c>
    </row>
    <row r="19" spans="1:12" ht="8.25" customHeight="1" thickBot="1" x14ac:dyDescent="0.3">
      <c r="B19" s="141"/>
      <c r="C19" s="10"/>
      <c r="D19" s="252"/>
      <c r="G19" s="387"/>
      <c r="H19" s="352"/>
      <c r="I19" s="350"/>
      <c r="J19" s="352"/>
      <c r="K19" s="352"/>
    </row>
    <row r="20" spans="1:12" ht="18" customHeight="1" x14ac:dyDescent="0.25">
      <c r="A20" s="1607" t="s">
        <v>584</v>
      </c>
      <c r="B20" s="1609"/>
      <c r="C20" s="660" t="s">
        <v>593</v>
      </c>
      <c r="D20" s="458" t="s">
        <v>598</v>
      </c>
      <c r="G20" s="387"/>
      <c r="H20" s="352"/>
      <c r="I20" s="350"/>
      <c r="J20" s="352"/>
      <c r="K20" s="352"/>
    </row>
    <row r="21" spans="1:12" ht="19.5" customHeight="1" x14ac:dyDescent="0.25">
      <c r="A21" s="1610" t="s">
        <v>596</v>
      </c>
      <c r="B21" s="466" t="s">
        <v>585</v>
      </c>
      <c r="C21" s="462" t="s">
        <v>586</v>
      </c>
      <c r="D21" s="471" t="s">
        <v>587</v>
      </c>
      <c r="G21" s="351" t="s">
        <v>8</v>
      </c>
      <c r="H21" s="352"/>
      <c r="I21" s="352"/>
      <c r="J21" s="352"/>
      <c r="K21" s="352"/>
      <c r="L21" s="80"/>
    </row>
    <row r="22" spans="1:12" ht="19.5" customHeight="1" x14ac:dyDescent="0.25">
      <c r="A22" s="1611"/>
      <c r="B22" s="442" t="s">
        <v>589</v>
      </c>
      <c r="C22" s="226">
        <f>C24*2</f>
        <v>144</v>
      </c>
      <c r="D22" s="456">
        <f>D24*2</f>
        <v>198.4</v>
      </c>
      <c r="G22" s="352" t="s">
        <v>31</v>
      </c>
      <c r="H22" s="352">
        <v>0</v>
      </c>
      <c r="I22" s="352"/>
      <c r="J22" s="351" t="s">
        <v>49</v>
      </c>
      <c r="K22" s="352"/>
      <c r="L22" s="80"/>
    </row>
    <row r="23" spans="1:12" ht="19.5" customHeight="1" x14ac:dyDescent="0.25">
      <c r="A23" s="1611"/>
      <c r="B23" s="442" t="s">
        <v>590</v>
      </c>
      <c r="C23" s="226">
        <f>C24*1.5</f>
        <v>108</v>
      </c>
      <c r="D23" s="456">
        <f>D24*1.5</f>
        <v>148.80000000000001</v>
      </c>
      <c r="G23" s="352" t="s">
        <v>25</v>
      </c>
      <c r="H23" s="352">
        <v>0</v>
      </c>
      <c r="I23" s="352"/>
      <c r="J23" s="971" t="s">
        <v>1225</v>
      </c>
      <c r="K23" s="971">
        <v>1</v>
      </c>
      <c r="L23" s="80"/>
    </row>
    <row r="24" spans="1:12" ht="19.5" customHeight="1" x14ac:dyDescent="0.25">
      <c r="A24" s="1611"/>
      <c r="B24" s="442" t="s">
        <v>591</v>
      </c>
      <c r="C24" s="446">
        <f>C7*1.8</f>
        <v>72</v>
      </c>
      <c r="D24" s="457">
        <f>C7*2.48</f>
        <v>99.2</v>
      </c>
      <c r="G24" s="352" t="s">
        <v>26</v>
      </c>
      <c r="H24" s="352">
        <v>0</v>
      </c>
      <c r="I24" s="352"/>
      <c r="J24" s="971" t="s">
        <v>184</v>
      </c>
      <c r="K24" s="971">
        <v>0.5</v>
      </c>
      <c r="L24" s="80"/>
    </row>
    <row r="25" spans="1:12" ht="19.5" customHeight="1" x14ac:dyDescent="0.25">
      <c r="A25" s="1421"/>
      <c r="B25" s="463" t="s">
        <v>592</v>
      </c>
      <c r="C25" s="226">
        <f>C24*0.5</f>
        <v>36</v>
      </c>
      <c r="D25" s="456">
        <f>D24*0.5</f>
        <v>49.6</v>
      </c>
      <c r="G25" s="352" t="s">
        <v>27</v>
      </c>
      <c r="H25" s="352">
        <v>20</v>
      </c>
      <c r="I25" s="352"/>
      <c r="J25" s="971" t="s">
        <v>1227</v>
      </c>
      <c r="K25" s="971">
        <v>0.6</v>
      </c>
      <c r="L25" s="80"/>
    </row>
    <row r="26" spans="1:12" ht="30" customHeight="1" x14ac:dyDescent="0.25">
      <c r="A26" s="1624"/>
      <c r="B26" s="1625" t="s">
        <v>594</v>
      </c>
      <c r="C26" s="1616" t="s">
        <v>597</v>
      </c>
      <c r="D26" s="1617"/>
      <c r="G26" s="352" t="s">
        <v>28</v>
      </c>
      <c r="H26" s="352">
        <v>10</v>
      </c>
      <c r="I26" s="352"/>
      <c r="J26" s="971" t="s">
        <v>1228</v>
      </c>
      <c r="K26" s="971">
        <v>0.4</v>
      </c>
      <c r="L26" s="80"/>
    </row>
    <row r="27" spans="1:12" ht="30" customHeight="1" thickBot="1" x14ac:dyDescent="0.3">
      <c r="A27" s="1621"/>
      <c r="B27" s="1623"/>
      <c r="C27" s="1618"/>
      <c r="D27" s="1619"/>
      <c r="G27" s="352" t="s">
        <v>29</v>
      </c>
      <c r="H27" s="352">
        <v>10</v>
      </c>
      <c r="I27" s="352"/>
      <c r="J27" s="971" t="s">
        <v>1226</v>
      </c>
      <c r="K27" s="971">
        <v>0.35</v>
      </c>
      <c r="L27" s="80"/>
    </row>
    <row r="28" spans="1:12" ht="10.5" customHeight="1" thickBot="1" x14ac:dyDescent="0.3">
      <c r="E28" s="13"/>
      <c r="G28" s="352" t="s">
        <v>681</v>
      </c>
      <c r="H28" s="352">
        <v>30</v>
      </c>
      <c r="I28" s="352"/>
      <c r="J28" s="971" t="s">
        <v>48</v>
      </c>
      <c r="K28" s="971">
        <v>0.3</v>
      </c>
      <c r="L28" s="80"/>
    </row>
    <row r="29" spans="1:12" ht="36" customHeight="1" thickBot="1" x14ac:dyDescent="0.3">
      <c r="A29" s="1630" t="s">
        <v>583</v>
      </c>
      <c r="B29" s="1631"/>
      <c r="C29" s="233" t="s">
        <v>392</v>
      </c>
      <c r="D29" s="207" t="s">
        <v>342</v>
      </c>
      <c r="G29" s="352" t="s">
        <v>30</v>
      </c>
      <c r="H29" s="352">
        <v>40</v>
      </c>
      <c r="I29" s="352"/>
      <c r="J29" s="971" t="s">
        <v>31</v>
      </c>
      <c r="K29" s="971">
        <v>0</v>
      </c>
      <c r="L29" s="80"/>
    </row>
    <row r="30" spans="1:12" ht="25.5" customHeight="1" x14ac:dyDescent="0.25">
      <c r="A30" s="70" t="s">
        <v>35</v>
      </c>
      <c r="B30" s="295">
        <v>60</v>
      </c>
      <c r="C30" s="209">
        <f>IF(OR(B30&lt;1,B30&gt;100),"Zahl 0 bis 100 eingeben",(-0.0025*B30*B30+0.75*B30-26)*0.5)</f>
        <v>5</v>
      </c>
      <c r="D30" s="71" t="s">
        <v>163</v>
      </c>
      <c r="G30" s="352" t="s">
        <v>9</v>
      </c>
      <c r="H30" s="352">
        <v>0</v>
      </c>
      <c r="I30" s="352"/>
      <c r="J30" s="15"/>
      <c r="K30" s="15"/>
      <c r="L30" s="80"/>
    </row>
    <row r="31" spans="1:12" x14ac:dyDescent="0.25">
      <c r="A31" s="70" t="s">
        <v>162</v>
      </c>
      <c r="B31" s="295">
        <v>200</v>
      </c>
      <c r="C31" s="50">
        <f>IF(OR(B31&lt;40,B31&gt;800),"gibt es nicht",(B31*0.025-1))</f>
        <v>4</v>
      </c>
      <c r="D31" s="71" t="s">
        <v>164</v>
      </c>
      <c r="G31" s="352" t="s">
        <v>10</v>
      </c>
      <c r="H31" s="352">
        <v>10</v>
      </c>
      <c r="J31" s="15"/>
      <c r="K31" s="15"/>
    </row>
    <row r="32" spans="1:12" x14ac:dyDescent="0.25">
      <c r="A32" s="70" t="s">
        <v>51</v>
      </c>
      <c r="B32" s="292" t="s">
        <v>31</v>
      </c>
      <c r="C32" s="56">
        <f>VLOOKUP(B32,J23:K29,2,FALSE)</f>
        <v>0</v>
      </c>
      <c r="D32" s="72" t="s">
        <v>50</v>
      </c>
      <c r="F32" s="284"/>
      <c r="G32" s="352" t="s">
        <v>31</v>
      </c>
      <c r="H32" s="352">
        <v>0</v>
      </c>
      <c r="J32" s="15"/>
      <c r="K32" s="15"/>
    </row>
    <row r="33" spans="1:11" x14ac:dyDescent="0.25">
      <c r="A33" s="70" t="s">
        <v>46</v>
      </c>
      <c r="B33" s="361">
        <v>0</v>
      </c>
      <c r="C33" s="46">
        <f>B33*10*C32</f>
        <v>0</v>
      </c>
      <c r="D33" s="71" t="s">
        <v>163</v>
      </c>
      <c r="H33" s="15"/>
      <c r="J33" s="15"/>
      <c r="K33" s="15"/>
    </row>
    <row r="34" spans="1:11" ht="15.75" x14ac:dyDescent="0.25">
      <c r="A34" s="73" t="s">
        <v>47</v>
      </c>
      <c r="B34" s="224" t="str">
        <f>IF(B33&gt;3,"Sind Sie sicher?"," ")</f>
        <v xml:space="preserve"> </v>
      </c>
      <c r="C34" s="46"/>
      <c r="D34" s="71"/>
      <c r="H34" s="15"/>
      <c r="J34" s="15"/>
      <c r="K34" s="15"/>
    </row>
    <row r="35" spans="1:11" x14ac:dyDescent="0.25">
      <c r="A35" s="208" t="s">
        <v>115</v>
      </c>
      <c r="B35" s="292" t="s">
        <v>120</v>
      </c>
      <c r="C35" s="46">
        <f>VLOOKUP(B35,J12:K18,2,FALSE)</f>
        <v>-45</v>
      </c>
      <c r="D35" s="71" t="s">
        <v>309</v>
      </c>
      <c r="H35" s="15"/>
      <c r="J35" s="15"/>
      <c r="K35" s="15"/>
    </row>
    <row r="36" spans="1:11" ht="30" customHeight="1" thickBot="1" x14ac:dyDescent="0.3">
      <c r="A36" s="70"/>
      <c r="B36" s="76" t="s">
        <v>614</v>
      </c>
      <c r="C36" s="46"/>
      <c r="D36" s="77" t="s">
        <v>64</v>
      </c>
      <c r="H36" s="15"/>
      <c r="J36" s="15"/>
      <c r="K36" s="15"/>
    </row>
    <row r="37" spans="1:11" ht="24.75" customHeight="1" x14ac:dyDescent="0.25">
      <c r="A37" s="131" t="s">
        <v>61</v>
      </c>
      <c r="B37" s="19">
        <f>B39*0.5+C31*0.6</f>
        <v>102.67000000000002</v>
      </c>
      <c r="C37" s="230">
        <f>B37-C11-C12*0.67+C35*0.33</f>
        <v>66.12</v>
      </c>
      <c r="D37" s="39" t="s">
        <v>441</v>
      </c>
      <c r="H37" s="15"/>
      <c r="J37" s="15"/>
      <c r="K37" s="15"/>
    </row>
    <row r="38" spans="1:11" ht="27.75" customHeight="1" thickBot="1" x14ac:dyDescent="0.3">
      <c r="A38" s="131" t="s">
        <v>62</v>
      </c>
      <c r="B38" s="19">
        <f>B39*0.5+C31*0.4</f>
        <v>101.87</v>
      </c>
      <c r="C38" s="232">
        <f>B38-C12*0.33-C13*0.75-C14-C15-C16*0.65-C30-C33+C35*0.67</f>
        <v>59.67</v>
      </c>
      <c r="D38" s="39" t="s">
        <v>442</v>
      </c>
      <c r="G38" s="350"/>
      <c r="H38" s="352"/>
      <c r="I38" s="350"/>
      <c r="J38" s="352"/>
      <c r="K38" s="352"/>
    </row>
    <row r="39" spans="1:11" ht="20.25" customHeight="1" x14ac:dyDescent="0.25">
      <c r="A39" s="204" t="s">
        <v>143</v>
      </c>
      <c r="B39" s="86">
        <f>-0.0336*C7*C7+5.39*C7+38.7</f>
        <v>200.54000000000002</v>
      </c>
      <c r="C39" s="212">
        <f>C37+C38</f>
        <v>125.79</v>
      </c>
      <c r="D39" s="79" t="str">
        <f>IF(C39&gt;C18,"Obergrenze einhalten!!!"," ")</f>
        <v xml:space="preserve"> </v>
      </c>
    </row>
    <row r="40" spans="1:11" ht="12.75" customHeight="1" x14ac:dyDescent="0.25"/>
    <row r="41" spans="1:11" ht="34.5" customHeight="1" x14ac:dyDescent="0.25">
      <c r="A41" s="302"/>
      <c r="B41" s="68"/>
      <c r="C41" s="303" t="s">
        <v>729</v>
      </c>
      <c r="D41" s="304"/>
      <c r="F41" s="519" t="s">
        <v>183</v>
      </c>
      <c r="G41" s="122" t="s">
        <v>186</v>
      </c>
      <c r="H41" s="122"/>
      <c r="I41" s="122"/>
    </row>
    <row r="42" spans="1:11" ht="18.75" customHeight="1" x14ac:dyDescent="0.25">
      <c r="A42" s="127"/>
      <c r="B42" s="141" t="s">
        <v>42</v>
      </c>
      <c r="C42" s="132">
        <f>C18</f>
        <v>170</v>
      </c>
      <c r="D42" s="305" t="s">
        <v>4</v>
      </c>
      <c r="F42" s="60" t="s">
        <v>179</v>
      </c>
      <c r="G42" s="60">
        <v>90</v>
      </c>
      <c r="H42" s="611"/>
      <c r="I42" s="611"/>
    </row>
    <row r="43" spans="1:11" ht="18.75" customHeight="1" x14ac:dyDescent="0.25">
      <c r="A43" s="1602" t="s">
        <v>711</v>
      </c>
      <c r="B43" s="615" t="s">
        <v>710</v>
      </c>
      <c r="C43" s="620">
        <v>0</v>
      </c>
      <c r="D43" s="618" t="s">
        <v>491</v>
      </c>
      <c r="F43" s="60" t="s">
        <v>814</v>
      </c>
      <c r="G43" s="60">
        <v>70</v>
      </c>
      <c r="H43" s="611"/>
      <c r="I43" s="611"/>
    </row>
    <row r="44" spans="1:11" ht="18.75" customHeight="1" x14ac:dyDescent="0.25">
      <c r="A44" s="1603"/>
      <c r="B44" s="616" t="s">
        <v>713</v>
      </c>
      <c r="C44" s="612">
        <v>0</v>
      </c>
      <c r="D44" s="309" t="s">
        <v>492</v>
      </c>
      <c r="F44" s="60" t="s">
        <v>815</v>
      </c>
      <c r="G44" s="60">
        <v>70</v>
      </c>
      <c r="H44" s="611"/>
      <c r="I44" s="611"/>
    </row>
    <row r="45" spans="1:11" ht="18.75" customHeight="1" x14ac:dyDescent="0.25">
      <c r="A45" s="664" t="s">
        <v>827</v>
      </c>
      <c r="B45" s="246" t="s">
        <v>714</v>
      </c>
      <c r="C45" s="619">
        <v>0</v>
      </c>
      <c r="D45" s="309" t="s">
        <v>260</v>
      </c>
      <c r="F45" s="60" t="s">
        <v>819</v>
      </c>
      <c r="G45" s="519">
        <v>70</v>
      </c>
      <c r="H45" s="611"/>
      <c r="I45" s="611"/>
    </row>
    <row r="46" spans="1:11" ht="18.75" customHeight="1" x14ac:dyDescent="0.25">
      <c r="A46" s="1602" t="s">
        <v>712</v>
      </c>
      <c r="B46" s="615" t="s">
        <v>715</v>
      </c>
      <c r="C46" s="612">
        <v>0</v>
      </c>
      <c r="D46" s="618" t="s">
        <v>491</v>
      </c>
      <c r="F46" s="519" t="s">
        <v>820</v>
      </c>
      <c r="G46" s="519">
        <v>60</v>
      </c>
      <c r="H46" s="611"/>
      <c r="I46" s="611"/>
    </row>
    <row r="47" spans="1:11" ht="18.75" customHeight="1" x14ac:dyDescent="0.25">
      <c r="A47" s="1603"/>
      <c r="B47" s="616" t="s">
        <v>716</v>
      </c>
      <c r="C47" s="612">
        <v>0</v>
      </c>
      <c r="D47" s="309" t="s">
        <v>492</v>
      </c>
      <c r="F47" s="60" t="s">
        <v>48</v>
      </c>
      <c r="G47" s="519">
        <v>60</v>
      </c>
      <c r="H47" s="611"/>
      <c r="I47" s="611"/>
    </row>
    <row r="48" spans="1:11" ht="18.75" customHeight="1" x14ac:dyDescent="0.25">
      <c r="A48" s="664" t="s">
        <v>827</v>
      </c>
      <c r="B48" s="617" t="s">
        <v>717</v>
      </c>
      <c r="C48" s="612">
        <v>0</v>
      </c>
      <c r="D48" s="309" t="s">
        <v>260</v>
      </c>
      <c r="F48" s="60" t="s">
        <v>821</v>
      </c>
      <c r="G48" s="60">
        <v>45</v>
      </c>
      <c r="H48" s="611"/>
      <c r="I48" s="611"/>
    </row>
    <row r="49" spans="1:9" ht="18.75" customHeight="1" x14ac:dyDescent="0.25">
      <c r="A49" s="70"/>
      <c r="B49" s="112" t="s">
        <v>261</v>
      </c>
      <c r="C49" s="308">
        <f>(C43*C44*C45/100)+(C46*C47*C48/100)</f>
        <v>0</v>
      </c>
      <c r="D49" s="310" t="s">
        <v>4</v>
      </c>
      <c r="F49" s="519" t="s">
        <v>816</v>
      </c>
      <c r="G49" s="519">
        <v>30</v>
      </c>
      <c r="H49" s="611"/>
      <c r="I49" s="611"/>
    </row>
    <row r="50" spans="1:9" ht="18.75" customHeight="1" x14ac:dyDescent="0.25">
      <c r="A50" s="306"/>
      <c r="B50" s="307" t="s">
        <v>136</v>
      </c>
      <c r="C50" s="308">
        <f>C42-C49</f>
        <v>170</v>
      </c>
      <c r="D50" s="311" t="s">
        <v>4</v>
      </c>
      <c r="F50" s="60" t="s">
        <v>1034</v>
      </c>
      <c r="G50" s="519">
        <v>30</v>
      </c>
      <c r="H50" s="611"/>
      <c r="I50" s="611"/>
    </row>
    <row r="51" spans="1:9" ht="19.5" customHeight="1" x14ac:dyDescent="0.25">
      <c r="F51" s="60" t="s">
        <v>187</v>
      </c>
      <c r="G51" s="519">
        <v>30</v>
      </c>
      <c r="H51" s="611"/>
      <c r="I51" s="611"/>
    </row>
    <row r="52" spans="1:9" ht="19.5" customHeight="1" x14ac:dyDescent="0.25">
      <c r="A52" s="67"/>
      <c r="B52" s="68"/>
      <c r="C52" s="312" t="s">
        <v>60</v>
      </c>
      <c r="D52" s="69"/>
      <c r="F52" s="60" t="s">
        <v>823</v>
      </c>
      <c r="G52" s="519">
        <v>30</v>
      </c>
      <c r="H52" s="611"/>
      <c r="I52" s="611"/>
    </row>
    <row r="53" spans="1:9" ht="19.5" customHeight="1" x14ac:dyDescent="0.25">
      <c r="A53" s="70"/>
      <c r="B53" s="41" t="s">
        <v>73</v>
      </c>
      <c r="C53" s="335">
        <v>23</v>
      </c>
      <c r="D53" s="71" t="s">
        <v>547</v>
      </c>
      <c r="F53" s="60" t="s">
        <v>824</v>
      </c>
      <c r="G53" s="519">
        <v>30</v>
      </c>
      <c r="H53" s="611"/>
      <c r="I53" s="611"/>
    </row>
    <row r="54" spans="1:9" ht="19.5" customHeight="1" x14ac:dyDescent="0.25">
      <c r="A54" s="70"/>
      <c r="B54" s="41" t="s">
        <v>12</v>
      </c>
      <c r="C54" s="101">
        <f>C7*0.91*C53/6.25</f>
        <v>133.952</v>
      </c>
      <c r="D54" s="92" t="str">
        <f>IF(C54&gt;200,"mehr als 200 kg Korn-N/ha ist unrealistisch!","Korn-N-Abfuhr")</f>
        <v>Korn-N-Abfuhr</v>
      </c>
      <c r="F54" s="60" t="s">
        <v>825</v>
      </c>
      <c r="G54" s="519">
        <v>30</v>
      </c>
    </row>
    <row r="55" spans="1:9" ht="19.5" customHeight="1" x14ac:dyDescent="0.25">
      <c r="A55" s="70"/>
      <c r="B55" s="81" t="s">
        <v>14</v>
      </c>
      <c r="C55" s="215">
        <f>(190-C7)/100</f>
        <v>1.5</v>
      </c>
      <c r="D55" s="82" t="s">
        <v>344</v>
      </c>
      <c r="F55" s="60" t="s">
        <v>180</v>
      </c>
      <c r="G55" s="519">
        <v>25</v>
      </c>
    </row>
    <row r="56" spans="1:9" ht="19.5" customHeight="1" x14ac:dyDescent="0.25">
      <c r="A56" s="70"/>
      <c r="B56" s="41" t="s">
        <v>13</v>
      </c>
      <c r="C56" s="216">
        <f>C7*C55*C53/25</f>
        <v>55.2</v>
      </c>
      <c r="D56" s="71"/>
      <c r="E56" s="14"/>
      <c r="F56" s="60" t="s">
        <v>817</v>
      </c>
      <c r="G56" s="519">
        <v>25</v>
      </c>
    </row>
    <row r="57" spans="1:9" ht="19.5" customHeight="1" x14ac:dyDescent="0.25">
      <c r="A57" s="26" t="s">
        <v>68</v>
      </c>
      <c r="B57" s="41" t="s">
        <v>65</v>
      </c>
      <c r="C57" s="101">
        <f>C39-C54</f>
        <v>-8.1619999999999919</v>
      </c>
      <c r="D57" s="202" t="str">
        <f>IF(C57&gt;50,"!!!",(IF(C57&gt;40,"!!",(IF(C57&gt;30,"!"," ")))))</f>
        <v xml:space="preserve"> </v>
      </c>
      <c r="F57" s="519" t="s">
        <v>818</v>
      </c>
      <c r="G57" s="519">
        <v>25</v>
      </c>
    </row>
    <row r="58" spans="1:9" ht="19.5" customHeight="1" x14ac:dyDescent="0.25">
      <c r="A58" s="629" t="s">
        <v>739</v>
      </c>
      <c r="B58" s="41" t="s">
        <v>66</v>
      </c>
      <c r="C58" s="187">
        <f>C39-C54-C56</f>
        <v>-63.361999999999995</v>
      </c>
      <c r="D58" s="203"/>
      <c r="F58" s="519" t="s">
        <v>826</v>
      </c>
      <c r="G58" s="519">
        <v>10</v>
      </c>
    </row>
    <row r="59" spans="1:9" ht="19.5" customHeight="1" x14ac:dyDescent="0.25">
      <c r="A59" s="628" t="s">
        <v>67</v>
      </c>
      <c r="B59" s="41" t="s">
        <v>65</v>
      </c>
      <c r="C59" s="187">
        <f>C18-C54</f>
        <v>36.048000000000002</v>
      </c>
      <c r="D59" s="202" t="str">
        <f>IF(C59&gt;50,"!!!",(IF(C59&gt;40,"!!",(IF(C59&gt;30,"!"," ")))))</f>
        <v>!</v>
      </c>
      <c r="F59" s="519" t="s">
        <v>181</v>
      </c>
      <c r="G59" s="519">
        <v>10</v>
      </c>
    </row>
    <row r="60" spans="1:9" ht="19.5" customHeight="1" x14ac:dyDescent="0.25">
      <c r="A60" s="729" t="s">
        <v>739</v>
      </c>
      <c r="B60" s="85" t="s">
        <v>66</v>
      </c>
      <c r="C60" s="188">
        <f>C18-C54-C56</f>
        <v>-19.152000000000001</v>
      </c>
      <c r="D60" s="205"/>
      <c r="F60" s="519" t="s">
        <v>188</v>
      </c>
      <c r="G60" s="519">
        <v>5</v>
      </c>
    </row>
    <row r="61" spans="1:9" ht="19.5" customHeight="1" x14ac:dyDescent="0.25">
      <c r="F61" s="519" t="s">
        <v>182</v>
      </c>
      <c r="G61" s="519">
        <v>3</v>
      </c>
    </row>
    <row r="62" spans="1:9" ht="21.75" customHeight="1" x14ac:dyDescent="0.25">
      <c r="A62" s="91" t="s">
        <v>167</v>
      </c>
      <c r="B62" s="89"/>
      <c r="C62" s="313"/>
    </row>
    <row r="63" spans="1:9" ht="76.5" customHeight="1" x14ac:dyDescent="0.25">
      <c r="A63" s="18" t="s">
        <v>400</v>
      </c>
      <c r="B63" s="1596" t="s">
        <v>422</v>
      </c>
      <c r="C63" s="1267"/>
      <c r="D63" s="1267"/>
    </row>
    <row r="64" spans="1:9" ht="23.25" customHeight="1" x14ac:dyDescent="0.25">
      <c r="A64" s="1636" t="s">
        <v>421</v>
      </c>
      <c r="B64" s="88" t="s">
        <v>419</v>
      </c>
      <c r="C64" s="90" t="s">
        <v>420</v>
      </c>
      <c r="E64" s="80"/>
    </row>
    <row r="65" spans="1:13" ht="21" customHeight="1" x14ac:dyDescent="0.25">
      <c r="A65" s="1637"/>
      <c r="B65" s="88" t="s">
        <v>349</v>
      </c>
      <c r="C65" s="90" t="s">
        <v>350</v>
      </c>
      <c r="E65" s="400"/>
    </row>
    <row r="66" spans="1:13" ht="70.5" customHeight="1" x14ac:dyDescent="0.25">
      <c r="A66" s="1637"/>
      <c r="B66" s="1596" t="s">
        <v>423</v>
      </c>
      <c r="C66" s="1463"/>
      <c r="D66" s="1463"/>
      <c r="E66" s="400"/>
      <c r="F66" s="400"/>
    </row>
    <row r="67" spans="1:13" ht="18" customHeight="1" x14ac:dyDescent="0.25">
      <c r="A67" s="661"/>
      <c r="B67" s="89"/>
      <c r="C67" s="313"/>
      <c r="F67" s="400"/>
    </row>
    <row r="68" spans="1:13" ht="21.75" customHeight="1" x14ac:dyDescent="0.25">
      <c r="A68" s="661"/>
      <c r="B68" s="88" t="s">
        <v>411</v>
      </c>
      <c r="C68" s="313"/>
      <c r="D68" s="80" t="s">
        <v>336</v>
      </c>
    </row>
    <row r="69" spans="1:13" ht="58.5" customHeight="1" x14ac:dyDescent="0.25">
      <c r="A69" s="661" t="s">
        <v>168</v>
      </c>
      <c r="B69" s="88" t="s">
        <v>424</v>
      </c>
      <c r="C69" s="313"/>
      <c r="D69" s="613" t="s">
        <v>426</v>
      </c>
    </row>
    <row r="70" spans="1:13" ht="105" customHeight="1" x14ac:dyDescent="0.25">
      <c r="A70" s="661" t="s">
        <v>169</v>
      </c>
      <c r="B70" s="88" t="s">
        <v>425</v>
      </c>
      <c r="C70" s="313"/>
      <c r="D70" s="613" t="s">
        <v>427</v>
      </c>
    </row>
    <row r="71" spans="1:13" ht="21.75" customHeight="1" x14ac:dyDescent="0.25">
      <c r="A71" s="661" t="s">
        <v>346</v>
      </c>
      <c r="B71" s="88" t="s">
        <v>337</v>
      </c>
      <c r="C71" s="90"/>
      <c r="D71" s="15" t="s">
        <v>373</v>
      </c>
    </row>
    <row r="72" spans="1:13" ht="17.25" customHeight="1" x14ac:dyDescent="0.25">
      <c r="A72" s="41" t="s">
        <v>416</v>
      </c>
      <c r="B72" s="15" t="s">
        <v>341</v>
      </c>
      <c r="C72" s="15"/>
      <c r="D72"/>
    </row>
    <row r="73" spans="1:13" x14ac:dyDescent="0.25">
      <c r="B73" s="15" t="s">
        <v>340</v>
      </c>
      <c r="C73" s="15"/>
      <c r="D73"/>
      <c r="E73"/>
      <c r="G73" s="3"/>
    </row>
    <row r="74" spans="1:13" x14ac:dyDescent="0.25">
      <c r="B74" s="15"/>
      <c r="C74" s="15"/>
      <c r="D74"/>
      <c r="E74" s="3"/>
      <c r="F74" s="3"/>
      <c r="G74" s="3"/>
    </row>
    <row r="75" spans="1:13" x14ac:dyDescent="0.25">
      <c r="A75" s="661" t="s">
        <v>417</v>
      </c>
      <c r="B75" s="15" t="s">
        <v>345</v>
      </c>
      <c r="C75" s="313"/>
      <c r="D75"/>
      <c r="E75" s="3"/>
      <c r="F75" s="3"/>
      <c r="G75" s="3"/>
      <c r="H75" s="3"/>
      <c r="I75" s="3"/>
    </row>
    <row r="76" spans="1:13" x14ac:dyDescent="0.25">
      <c r="B76" s="15" t="s">
        <v>418</v>
      </c>
      <c r="D76"/>
      <c r="E76" s="3"/>
      <c r="F76" s="3"/>
      <c r="G76" s="3"/>
      <c r="H76" s="3"/>
      <c r="I76" s="3"/>
      <c r="J76" s="3"/>
      <c r="K76" s="3"/>
      <c r="L76" s="3"/>
      <c r="M76" s="3"/>
    </row>
    <row r="77" spans="1:13" x14ac:dyDescent="0.25">
      <c r="A77" s="32"/>
      <c r="B77" s="8"/>
      <c r="C77" s="3"/>
      <c r="D77"/>
      <c r="E77" s="3"/>
      <c r="F77" s="3"/>
      <c r="G77"/>
      <c r="H77" s="3"/>
      <c r="I77" s="3"/>
      <c r="J77" s="3"/>
      <c r="K77" s="3"/>
      <c r="L77" s="3"/>
      <c r="M77" s="3"/>
    </row>
    <row r="78" spans="1:13" x14ac:dyDescent="0.25">
      <c r="B78" s="3"/>
      <c r="C78" s="3"/>
      <c r="D78" s="3"/>
      <c r="E78" s="3"/>
      <c r="F78" s="3"/>
      <c r="G78"/>
      <c r="H78" s="3"/>
      <c r="I78" s="3"/>
      <c r="J78" s="3"/>
      <c r="K78" s="3"/>
      <c r="L78" s="3"/>
      <c r="M78" s="3"/>
    </row>
    <row r="79" spans="1:13" x14ac:dyDescent="0.25">
      <c r="B79" s="8" t="s">
        <v>122</v>
      </c>
      <c r="C79" s="3" t="s">
        <v>123</v>
      </c>
      <c r="D79" s="3" t="s">
        <v>124</v>
      </c>
      <c r="E79" s="3"/>
      <c r="F79" s="3"/>
      <c r="G79"/>
      <c r="H79"/>
      <c r="I79"/>
      <c r="J79" s="3"/>
      <c r="K79" s="3"/>
      <c r="L79" s="3"/>
      <c r="M79" s="3"/>
    </row>
    <row r="80" spans="1:13" x14ac:dyDescent="0.25">
      <c r="D80" s="80"/>
      <c r="E80" s="3"/>
      <c r="F80" s="3"/>
      <c r="G80"/>
      <c r="H80"/>
      <c r="I80"/>
      <c r="J80"/>
      <c r="K80"/>
      <c r="L80"/>
      <c r="M80"/>
    </row>
    <row r="81" spans="2:13" x14ac:dyDescent="0.25">
      <c r="B81" s="3">
        <v>25</v>
      </c>
      <c r="C81" s="3">
        <v>153</v>
      </c>
      <c r="D81" s="3">
        <v>155</v>
      </c>
      <c r="E81" s="3"/>
      <c r="F81" s="3"/>
      <c r="G81"/>
      <c r="H81"/>
      <c r="I81"/>
      <c r="J81"/>
      <c r="K81"/>
      <c r="L81"/>
      <c r="M81"/>
    </row>
    <row r="82" spans="2:13" x14ac:dyDescent="0.25">
      <c r="B82" s="3"/>
      <c r="C82" s="3"/>
      <c r="D82" s="3"/>
      <c r="E82" s="3"/>
      <c r="F82" s="3"/>
      <c r="G82"/>
      <c r="H82"/>
      <c r="I82"/>
      <c r="J82"/>
      <c r="K82"/>
      <c r="L82"/>
      <c r="M82"/>
    </row>
    <row r="83" spans="2:13" x14ac:dyDescent="0.25">
      <c r="B83" s="3">
        <v>35</v>
      </c>
      <c r="C83" s="3">
        <v>185</v>
      </c>
      <c r="D83" s="3">
        <v>185</v>
      </c>
      <c r="E83" s="3"/>
      <c r="F83" s="3"/>
      <c r="G83"/>
      <c r="H83"/>
      <c r="I83"/>
      <c r="J83"/>
      <c r="K83"/>
      <c r="L83"/>
      <c r="M83"/>
    </row>
    <row r="84" spans="2:13" x14ac:dyDescent="0.25">
      <c r="B84" s="3"/>
      <c r="C84" s="3"/>
      <c r="D84" s="3"/>
      <c r="E84" s="3"/>
      <c r="F84" s="3"/>
      <c r="G84"/>
      <c r="H84"/>
      <c r="I84"/>
      <c r="J84"/>
      <c r="K84"/>
      <c r="L84"/>
      <c r="M84"/>
    </row>
    <row r="85" spans="2:13" x14ac:dyDescent="0.25">
      <c r="B85" s="3">
        <v>45</v>
      </c>
      <c r="C85" s="3">
        <v>214</v>
      </c>
      <c r="D85" s="3">
        <v>210</v>
      </c>
      <c r="E85" s="3"/>
      <c r="F85" s="3"/>
      <c r="G85"/>
      <c r="H85"/>
      <c r="I85"/>
      <c r="J85"/>
      <c r="K85"/>
      <c r="L85"/>
      <c r="M85"/>
    </row>
    <row r="86" spans="2:13" x14ac:dyDescent="0.25">
      <c r="B86" s="3"/>
      <c r="C86" s="3"/>
      <c r="D86" s="3"/>
      <c r="E86"/>
      <c r="F86" s="3"/>
      <c r="G86"/>
      <c r="H86"/>
      <c r="I86"/>
      <c r="J86"/>
      <c r="K86"/>
      <c r="L86"/>
      <c r="M86"/>
    </row>
    <row r="87" spans="2:13" x14ac:dyDescent="0.25">
      <c r="B87" s="3">
        <v>55</v>
      </c>
      <c r="C87" s="3">
        <v>234</v>
      </c>
      <c r="D87" s="3">
        <v>230</v>
      </c>
      <c r="E87"/>
      <c r="F87"/>
      <c r="G87"/>
      <c r="H87"/>
      <c r="I87"/>
      <c r="J87"/>
      <c r="K87"/>
      <c r="L87"/>
      <c r="M87"/>
    </row>
    <row r="88" spans="2:13" x14ac:dyDescent="0.25">
      <c r="B88" s="3"/>
      <c r="C88" s="3"/>
      <c r="D88" s="3"/>
      <c r="E88"/>
      <c r="F88"/>
      <c r="G88"/>
      <c r="H88"/>
      <c r="I88"/>
      <c r="J88"/>
      <c r="K88"/>
      <c r="L88"/>
      <c r="M88"/>
    </row>
    <row r="89" spans="2:13" x14ac:dyDescent="0.25">
      <c r="B89" s="3">
        <v>65</v>
      </c>
      <c r="C89" s="3">
        <v>247</v>
      </c>
      <c r="D89" s="3">
        <v>250</v>
      </c>
      <c r="E89"/>
      <c r="F89"/>
      <c r="G89"/>
      <c r="H89"/>
      <c r="I89"/>
      <c r="J89"/>
      <c r="K89"/>
      <c r="L89"/>
      <c r="M89"/>
    </row>
    <row r="90" spans="2:13" x14ac:dyDescent="0.25">
      <c r="B90"/>
      <c r="C90"/>
      <c r="D90"/>
      <c r="E90"/>
      <c r="F90"/>
      <c r="G90"/>
      <c r="H90"/>
      <c r="I90"/>
      <c r="J90"/>
      <c r="K90"/>
      <c r="L90"/>
      <c r="M90"/>
    </row>
    <row r="91" spans="2:13" x14ac:dyDescent="0.25">
      <c r="B91"/>
      <c r="C91"/>
      <c r="D91"/>
      <c r="E91"/>
      <c r="F91"/>
      <c r="G91"/>
      <c r="H91"/>
      <c r="I91"/>
      <c r="J91"/>
      <c r="K91"/>
      <c r="L91"/>
      <c r="M91"/>
    </row>
    <row r="92" spans="2:13" x14ac:dyDescent="0.25">
      <c r="B92"/>
      <c r="C92"/>
      <c r="D92"/>
      <c r="E92"/>
      <c r="F92"/>
      <c r="G92"/>
      <c r="H92"/>
      <c r="I92"/>
      <c r="J92"/>
      <c r="K92"/>
      <c r="L92"/>
      <c r="M92"/>
    </row>
    <row r="93" spans="2:13" x14ac:dyDescent="0.25">
      <c r="B93"/>
      <c r="C93"/>
      <c r="D93"/>
      <c r="E93"/>
      <c r="F93"/>
      <c r="G93"/>
      <c r="H93"/>
      <c r="I93"/>
      <c r="J93"/>
      <c r="K93"/>
      <c r="L93"/>
      <c r="M93"/>
    </row>
    <row r="94" spans="2:13" x14ac:dyDescent="0.25">
      <c r="B94"/>
      <c r="C94"/>
      <c r="D94"/>
      <c r="E94"/>
      <c r="F94"/>
      <c r="G94"/>
      <c r="H94"/>
      <c r="I94"/>
      <c r="J94"/>
      <c r="K94"/>
      <c r="L94"/>
      <c r="M94"/>
    </row>
    <row r="95" spans="2:13" x14ac:dyDescent="0.25">
      <c r="B95"/>
      <c r="C95"/>
      <c r="D95"/>
      <c r="F95"/>
      <c r="H95"/>
      <c r="I95"/>
      <c r="J95"/>
      <c r="K95"/>
      <c r="L95"/>
      <c r="M95"/>
    </row>
    <row r="96" spans="2:13" x14ac:dyDescent="0.25">
      <c r="B96"/>
      <c r="C96"/>
      <c r="D96"/>
      <c r="H96"/>
      <c r="I96"/>
      <c r="J96"/>
      <c r="K96"/>
      <c r="L96"/>
      <c r="M96"/>
    </row>
    <row r="97" spans="2:13" x14ac:dyDescent="0.25">
      <c r="B97"/>
      <c r="C97"/>
      <c r="D97"/>
      <c r="J97"/>
      <c r="K97"/>
      <c r="L97"/>
      <c r="M97"/>
    </row>
    <row r="98" spans="2:13" x14ac:dyDescent="0.25">
      <c r="B98"/>
      <c r="C98"/>
      <c r="D98"/>
    </row>
  </sheetData>
  <sheetProtection sheet="1" formatCells="0" formatColumns="0" formatRows="0" selectLockedCells="1"/>
  <mergeCells count="13">
    <mergeCell ref="B63:D63"/>
    <mergeCell ref="A64:A66"/>
    <mergeCell ref="B66:D66"/>
    <mergeCell ref="A46:A47"/>
    <mergeCell ref="A29:B29"/>
    <mergeCell ref="A43:A44"/>
    <mergeCell ref="A5:D5"/>
    <mergeCell ref="A6:B6"/>
    <mergeCell ref="A20:B20"/>
    <mergeCell ref="A21:A25"/>
    <mergeCell ref="A26:A27"/>
    <mergeCell ref="B26:B27"/>
    <mergeCell ref="C26:D27"/>
  </mergeCells>
  <dataValidations count="6">
    <dataValidation type="list" allowBlank="1" sqref="B14" xr:uid="{00000000-0002-0000-1A00-000000000000}">
      <formula1>$G$22:$G$32</formula1>
    </dataValidation>
    <dataValidation type="list" allowBlank="1" sqref="B32" xr:uid="{00000000-0002-0000-1A00-000001000000}">
      <formula1>J23:J29</formula1>
    </dataValidation>
    <dataValidation type="list" allowBlank="1" sqref="B17" xr:uid="{00000000-0002-0000-1A00-000002000000}">
      <formula1>"bis 4 %, größer 4 %"</formula1>
    </dataValidation>
    <dataValidation type="list" allowBlank="1" sqref="J8:J9" xr:uid="{00000000-0002-0000-1A00-000003000000}">
      <formula1>"Humusgehalt"</formula1>
    </dataValidation>
    <dataValidation type="list" allowBlank="1" sqref="B35" xr:uid="{00000000-0002-0000-1A00-000004000000}">
      <formula1>FM</formula1>
    </dataValidation>
    <dataValidation type="list" allowBlank="1" sqref="B15" xr:uid="{00000000-0002-0000-1A00-000005000000}">
      <formula1>Vorfrucht</formula1>
    </dataValidation>
  </dataValidations>
  <pageMargins left="0.7" right="0.7" top="0.78740157499999996" bottom="0.78740157499999996" header="0.3" footer="0.3"/>
  <pageSetup paperSize="9" scale="66" orientation="portrait" horizontalDpi="4294967293" verticalDpi="4294967293"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Tabelle33">
    <tabColor theme="0"/>
    <pageSetUpPr fitToPage="1"/>
  </sheetPr>
  <dimension ref="A1:K66"/>
  <sheetViews>
    <sheetView zoomScaleNormal="100" workbookViewId="0"/>
  </sheetViews>
  <sheetFormatPr baseColWidth="10" defaultRowHeight="15" x14ac:dyDescent="0.25"/>
  <cols>
    <col min="1" max="1" width="40.42578125" style="32" customWidth="1"/>
    <col min="2" max="2" width="39.7109375" style="8" customWidth="1"/>
    <col min="3" max="3" width="22.5703125" style="3" customWidth="1"/>
    <col min="4" max="4" width="34" customWidth="1"/>
    <col min="5" max="5" width="25.42578125" customWidth="1"/>
    <col min="6" max="6" width="36.5703125" customWidth="1"/>
    <col min="7" max="7" width="35" customWidth="1"/>
    <col min="8" max="8" width="24" style="3" customWidth="1"/>
    <col min="9" max="9" width="24.28515625" customWidth="1"/>
    <col min="10" max="10" width="32.140625" customWidth="1"/>
    <col min="11" max="11" width="30.85546875" customWidth="1"/>
  </cols>
  <sheetData>
    <row r="1" spans="1:11" x14ac:dyDescent="0.25">
      <c r="A1" s="325"/>
      <c r="B1" s="112" t="str">
        <f>'DüV-N-Ackerbau (1)'!C1</f>
        <v>Testbetrieb</v>
      </c>
      <c r="C1" s="112" t="str">
        <f>'DüV-N-Ackerbau (1)'!F1</f>
        <v>Erntejahr</v>
      </c>
      <c r="E1" s="6" t="s">
        <v>36</v>
      </c>
    </row>
    <row r="2" spans="1:11" x14ac:dyDescent="0.25">
      <c r="B2" s="112">
        <f>'DüV-N-Ackerbau (1)'!C2</f>
        <v>1</v>
      </c>
      <c r="C2" s="112">
        <f>'DüV-N-Ackerbau (1)'!G1</f>
        <v>2022</v>
      </c>
      <c r="E2" s="7" t="s">
        <v>34</v>
      </c>
    </row>
    <row r="3" spans="1:11" x14ac:dyDescent="0.25">
      <c r="B3" s="112">
        <f>'DüV-N-Ackerbau (1)'!C3</f>
        <v>123456</v>
      </c>
      <c r="C3" s="41"/>
    </row>
    <row r="4" spans="1:11" ht="7.5" customHeight="1" thickBot="1" x14ac:dyDescent="0.3"/>
    <row r="5" spans="1:11" ht="21.75" thickBot="1" x14ac:dyDescent="0.3">
      <c r="A5" s="1604" t="s">
        <v>154</v>
      </c>
      <c r="B5" s="1605"/>
      <c r="C5" s="1605"/>
      <c r="D5" s="1606"/>
      <c r="G5" s="351" t="s">
        <v>6</v>
      </c>
      <c r="H5" s="351" t="s">
        <v>5</v>
      </c>
      <c r="I5" s="352"/>
      <c r="J5" s="352"/>
      <c r="K5" s="352"/>
    </row>
    <row r="6" spans="1:11" ht="47.25" x14ac:dyDescent="0.25">
      <c r="A6" s="1607" t="s">
        <v>580</v>
      </c>
      <c r="B6" s="1608"/>
      <c r="C6" s="348" t="s">
        <v>579</v>
      </c>
      <c r="D6" s="709" t="s">
        <v>533</v>
      </c>
      <c r="G6" s="352" t="s">
        <v>510</v>
      </c>
      <c r="H6" s="352">
        <v>0</v>
      </c>
      <c r="I6" s="352"/>
      <c r="J6" s="352"/>
      <c r="K6" s="352"/>
    </row>
    <row r="7" spans="1:11" ht="15.75" x14ac:dyDescent="0.25">
      <c r="A7" s="63"/>
      <c r="B7" s="41" t="s">
        <v>677</v>
      </c>
      <c r="C7" s="349">
        <v>90</v>
      </c>
      <c r="D7" s="288"/>
      <c r="G7" s="352" t="s">
        <v>22</v>
      </c>
      <c r="H7" s="352">
        <v>10</v>
      </c>
      <c r="I7" s="352"/>
      <c r="J7" s="352" t="s">
        <v>159</v>
      </c>
      <c r="K7" s="352"/>
    </row>
    <row r="8" spans="1:11" ht="15.75" x14ac:dyDescent="0.25">
      <c r="A8" s="63"/>
      <c r="B8" s="579" t="s">
        <v>680</v>
      </c>
      <c r="C8" s="578">
        <f>C7*0.86</f>
        <v>77.400000000000006</v>
      </c>
      <c r="D8" s="288"/>
      <c r="G8" s="352" t="s">
        <v>535</v>
      </c>
      <c r="H8" s="352">
        <v>10</v>
      </c>
      <c r="I8" s="352"/>
      <c r="J8" s="352" t="s">
        <v>160</v>
      </c>
      <c r="K8" s="352">
        <v>0</v>
      </c>
    </row>
    <row r="9" spans="1:11" ht="15.75" x14ac:dyDescent="0.25">
      <c r="A9" s="63"/>
      <c r="B9" s="32"/>
      <c r="C9" s="48" t="s">
        <v>4</v>
      </c>
      <c r="D9" s="288"/>
      <c r="G9" s="352" t="s">
        <v>7</v>
      </c>
      <c r="H9" s="352">
        <v>10</v>
      </c>
      <c r="I9" s="352"/>
      <c r="J9" s="352" t="s">
        <v>161</v>
      </c>
      <c r="K9" s="352">
        <v>20</v>
      </c>
    </row>
    <row r="10" spans="1:11" ht="15.75" x14ac:dyDescent="0.25">
      <c r="A10" s="63"/>
      <c r="B10" s="32" t="s">
        <v>37</v>
      </c>
      <c r="C10" s="101">
        <f>IF(C7&lt;=89.9,65+C7*1.5,(IF(C7&gt;=90,110+C7)))</f>
        <v>200</v>
      </c>
      <c r="D10" s="289"/>
      <c r="G10" s="352" t="s">
        <v>17</v>
      </c>
      <c r="H10" s="352">
        <v>20</v>
      </c>
      <c r="I10" s="352"/>
      <c r="J10" s="352"/>
      <c r="K10" s="352"/>
    </row>
    <row r="11" spans="1:11" ht="18" x14ac:dyDescent="0.35">
      <c r="A11" s="63"/>
      <c r="B11" s="32" t="s">
        <v>38</v>
      </c>
      <c r="C11" s="360">
        <v>20</v>
      </c>
      <c r="D11" s="289"/>
      <c r="G11" s="352" t="s">
        <v>23</v>
      </c>
      <c r="H11" s="352">
        <v>0</v>
      </c>
      <c r="I11" s="352"/>
      <c r="J11" s="351" t="s">
        <v>49</v>
      </c>
      <c r="K11" s="352"/>
    </row>
    <row r="12" spans="1:11" ht="18" x14ac:dyDescent="0.35">
      <c r="A12" s="63"/>
      <c r="B12" s="32" t="s">
        <v>39</v>
      </c>
      <c r="C12" s="360">
        <v>15</v>
      </c>
      <c r="D12" s="289"/>
      <c r="G12" s="352" t="s">
        <v>20</v>
      </c>
      <c r="H12" s="352">
        <v>20</v>
      </c>
      <c r="I12" s="352"/>
      <c r="J12" s="971" t="s">
        <v>1225</v>
      </c>
      <c r="K12" s="971">
        <v>1</v>
      </c>
    </row>
    <row r="13" spans="1:11" ht="18" x14ac:dyDescent="0.35">
      <c r="A13" s="63"/>
      <c r="B13" s="32" t="s">
        <v>40</v>
      </c>
      <c r="C13" s="360">
        <v>10</v>
      </c>
      <c r="D13" s="289"/>
      <c r="G13" s="352" t="s">
        <v>19</v>
      </c>
      <c r="H13" s="352">
        <v>10</v>
      </c>
      <c r="I13" s="352"/>
      <c r="J13" s="971" t="s">
        <v>184</v>
      </c>
      <c r="K13" s="971">
        <v>0.5</v>
      </c>
    </row>
    <row r="14" spans="1:11" x14ac:dyDescent="0.25">
      <c r="A14" s="63" t="s">
        <v>8</v>
      </c>
      <c r="B14" s="290" t="s">
        <v>27</v>
      </c>
      <c r="C14" s="47">
        <f>VLOOKUP(B14,G19:H29,2,FALSE)</f>
        <v>20</v>
      </c>
      <c r="D14" s="289"/>
      <c r="G14" s="352" t="s">
        <v>536</v>
      </c>
      <c r="H14" s="352">
        <v>0</v>
      </c>
      <c r="I14" s="352"/>
      <c r="J14" s="971" t="s">
        <v>1227</v>
      </c>
      <c r="K14" s="971">
        <v>0.6</v>
      </c>
    </row>
    <row r="15" spans="1:11" x14ac:dyDescent="0.25">
      <c r="A15" s="63" t="s">
        <v>6</v>
      </c>
      <c r="B15" s="290" t="s">
        <v>510</v>
      </c>
      <c r="C15" s="47">
        <f>VLOOKUP(B15,G6:H16,2,FALSE)</f>
        <v>0</v>
      </c>
      <c r="D15" s="289"/>
      <c r="G15" s="352" t="s">
        <v>21</v>
      </c>
      <c r="H15" s="352">
        <v>10</v>
      </c>
      <c r="I15" s="352"/>
      <c r="J15" s="971" t="s">
        <v>1228</v>
      </c>
      <c r="K15" s="971">
        <v>0.4</v>
      </c>
    </row>
    <row r="16" spans="1:11" ht="15.75" x14ac:dyDescent="0.25">
      <c r="A16" s="59" t="s">
        <v>1073</v>
      </c>
      <c r="B16" s="8" t="s">
        <v>24</v>
      </c>
      <c r="C16" s="291">
        <v>0</v>
      </c>
      <c r="D16" s="289"/>
      <c r="E16" s="358" t="str">
        <f>IF(C16&gt;25,"Sind Sie sicher?"," ")</f>
        <v xml:space="preserve"> </v>
      </c>
      <c r="G16" s="352" t="s">
        <v>18</v>
      </c>
      <c r="H16" s="352">
        <v>20</v>
      </c>
      <c r="I16" s="352"/>
      <c r="J16" s="971" t="s">
        <v>1226</v>
      </c>
      <c r="K16" s="971">
        <v>0.35</v>
      </c>
    </row>
    <row r="17" spans="1:11" ht="15.75" thickBot="1" x14ac:dyDescent="0.3">
      <c r="A17" s="59" t="s">
        <v>159</v>
      </c>
      <c r="B17" s="292" t="s">
        <v>160</v>
      </c>
      <c r="C17" s="65">
        <f>VLOOKUP(B17,J8:K9,2,FALSE)</f>
        <v>0</v>
      </c>
      <c r="D17" s="293"/>
      <c r="G17" s="352"/>
      <c r="H17" s="352"/>
      <c r="I17" s="352"/>
      <c r="J17" s="971" t="s">
        <v>48</v>
      </c>
      <c r="K17" s="971">
        <v>0.3</v>
      </c>
    </row>
    <row r="18" spans="1:11" ht="18" customHeight="1" thickBot="1" x14ac:dyDescent="0.3">
      <c r="A18" s="251"/>
      <c r="B18" s="243" t="s">
        <v>475</v>
      </c>
      <c r="C18" s="239">
        <f>C10-SUM(C11:C17)</f>
        <v>135</v>
      </c>
      <c r="D18" s="244" t="s">
        <v>477</v>
      </c>
      <c r="E18" s="1"/>
      <c r="G18" s="351" t="s">
        <v>8</v>
      </c>
      <c r="H18" s="352"/>
      <c r="I18" s="352"/>
      <c r="J18" s="971" t="s">
        <v>31</v>
      </c>
      <c r="K18" s="971">
        <v>0</v>
      </c>
    </row>
    <row r="19" spans="1:11" ht="10.5" customHeight="1" thickBot="1" x14ac:dyDescent="0.3">
      <c r="B19" s="141"/>
      <c r="C19" s="10"/>
      <c r="D19" s="252"/>
      <c r="E19" s="1"/>
      <c r="G19" s="352" t="s">
        <v>31</v>
      </c>
      <c r="H19" s="352">
        <v>0</v>
      </c>
      <c r="I19" s="352"/>
      <c r="J19" s="352"/>
      <c r="K19" s="352"/>
    </row>
    <row r="20" spans="1:11" ht="15" customHeight="1" x14ac:dyDescent="0.25">
      <c r="A20" s="1607" t="s">
        <v>584</v>
      </c>
      <c r="B20" s="1609"/>
      <c r="C20" s="660" t="s">
        <v>593</v>
      </c>
      <c r="D20" s="444" t="s">
        <v>593</v>
      </c>
      <c r="E20" s="1"/>
      <c r="G20" s="352" t="s">
        <v>25</v>
      </c>
      <c r="H20" s="352">
        <v>0</v>
      </c>
      <c r="I20" s="352"/>
      <c r="J20" s="352"/>
      <c r="K20" s="352"/>
    </row>
    <row r="21" spans="1:11" ht="19.5" customHeight="1" x14ac:dyDescent="0.25">
      <c r="A21" s="1610" t="s">
        <v>596</v>
      </c>
      <c r="B21" s="466" t="s">
        <v>585</v>
      </c>
      <c r="C21" s="462" t="s">
        <v>586</v>
      </c>
      <c r="D21" s="471" t="s">
        <v>587</v>
      </c>
      <c r="E21" s="1"/>
      <c r="G21" s="352" t="s">
        <v>26</v>
      </c>
      <c r="H21" s="352">
        <v>0</v>
      </c>
      <c r="I21" s="352"/>
      <c r="J21" s="352"/>
      <c r="K21" s="352"/>
    </row>
    <row r="22" spans="1:11" ht="19.5" customHeight="1" x14ac:dyDescent="0.25">
      <c r="A22" s="1611"/>
      <c r="B22" s="442" t="s">
        <v>589</v>
      </c>
      <c r="C22" s="226">
        <f>C24*2</f>
        <v>144</v>
      </c>
      <c r="D22" s="456">
        <f>D24*2</f>
        <v>180</v>
      </c>
      <c r="E22" s="1"/>
      <c r="G22" s="352" t="s">
        <v>27</v>
      </c>
      <c r="H22" s="352">
        <v>20</v>
      </c>
      <c r="I22" s="352"/>
      <c r="J22" s="352"/>
      <c r="K22" s="352"/>
    </row>
    <row r="23" spans="1:11" ht="19.5" customHeight="1" x14ac:dyDescent="0.25">
      <c r="A23" s="1611"/>
      <c r="B23" s="442" t="s">
        <v>590</v>
      </c>
      <c r="C23" s="226">
        <f>C24*1.5</f>
        <v>108</v>
      </c>
      <c r="D23" s="456">
        <f>D24*1.5</f>
        <v>135</v>
      </c>
      <c r="E23" s="1"/>
      <c r="G23" s="352" t="s">
        <v>28</v>
      </c>
      <c r="H23" s="352">
        <v>10</v>
      </c>
      <c r="I23" s="352"/>
      <c r="J23" s="352"/>
      <c r="K23" s="352"/>
    </row>
    <row r="24" spans="1:11" ht="19.5" customHeight="1" x14ac:dyDescent="0.25">
      <c r="A24" s="1611"/>
      <c r="B24" s="442" t="s">
        <v>591</v>
      </c>
      <c r="C24" s="446">
        <f>C7*0.8</f>
        <v>72</v>
      </c>
      <c r="D24" s="535">
        <f>C7*1</f>
        <v>90</v>
      </c>
      <c r="E24" s="1"/>
      <c r="G24" s="352" t="s">
        <v>29</v>
      </c>
      <c r="H24" s="352">
        <v>10</v>
      </c>
      <c r="I24" s="352"/>
      <c r="J24" s="352"/>
      <c r="K24" s="352"/>
    </row>
    <row r="25" spans="1:11" ht="19.5" customHeight="1" x14ac:dyDescent="0.25">
      <c r="A25" s="1421"/>
      <c r="B25" s="463" t="s">
        <v>592</v>
      </c>
      <c r="C25" s="226">
        <f>C24*0.5</f>
        <v>36</v>
      </c>
      <c r="D25" s="456">
        <f>D24*0.5</f>
        <v>45</v>
      </c>
      <c r="E25" s="1"/>
      <c r="G25" s="352" t="s">
        <v>681</v>
      </c>
      <c r="H25" s="352">
        <v>30</v>
      </c>
      <c r="I25" s="352"/>
      <c r="J25" s="352"/>
      <c r="K25" s="352"/>
    </row>
    <row r="26" spans="1:11" ht="25.5" customHeight="1" x14ac:dyDescent="0.25">
      <c r="A26" s="1624"/>
      <c r="B26" s="1625" t="s">
        <v>594</v>
      </c>
      <c r="C26" s="1616" t="s">
        <v>597</v>
      </c>
      <c r="D26" s="1617"/>
      <c r="E26" s="1"/>
      <c r="G26" s="352" t="s">
        <v>30</v>
      </c>
      <c r="H26" s="352">
        <v>40</v>
      </c>
      <c r="I26" s="352"/>
      <c r="J26" s="352"/>
      <c r="K26" s="352"/>
    </row>
    <row r="27" spans="1:11" ht="25.5" customHeight="1" thickBot="1" x14ac:dyDescent="0.3">
      <c r="A27" s="1621"/>
      <c r="B27" s="1623"/>
      <c r="C27" s="1618"/>
      <c r="D27" s="1619"/>
      <c r="E27" s="1"/>
      <c r="G27" s="352" t="s">
        <v>9</v>
      </c>
      <c r="H27" s="352">
        <v>0</v>
      </c>
      <c r="I27" s="352"/>
      <c r="J27" s="352"/>
      <c r="K27" s="352"/>
    </row>
    <row r="28" spans="1:11" ht="12" customHeight="1" thickBot="1" x14ac:dyDescent="0.3">
      <c r="G28" s="352" t="s">
        <v>10</v>
      </c>
      <c r="H28" s="352">
        <v>10</v>
      </c>
      <c r="I28" s="352"/>
      <c r="J28" s="352"/>
      <c r="K28" s="352"/>
    </row>
    <row r="29" spans="1:11" ht="32.25" customHeight="1" thickBot="1" x14ac:dyDescent="0.3">
      <c r="A29" s="1630" t="s">
        <v>498</v>
      </c>
      <c r="B29" s="1631"/>
      <c r="C29" s="233" t="s">
        <v>392</v>
      </c>
      <c r="D29" s="207" t="s">
        <v>342</v>
      </c>
      <c r="G29" s="352" t="s">
        <v>31</v>
      </c>
      <c r="H29" s="352">
        <v>0</v>
      </c>
      <c r="I29" s="352"/>
      <c r="J29" s="352"/>
      <c r="K29" s="352"/>
    </row>
    <row r="30" spans="1:11" s="15" customFormat="1" ht="19.5" customHeight="1" x14ac:dyDescent="0.25">
      <c r="A30" s="70" t="s">
        <v>35</v>
      </c>
      <c r="B30" s="295">
        <v>60</v>
      </c>
      <c r="C30" s="209">
        <f>IF(OR(B30&lt;1,B30&gt;100),"Zahl 0 bis 100 eingeben",(-0.0025*B30*B30+0.75*B30-26)*0.4)</f>
        <v>4</v>
      </c>
      <c r="D30" s="225" t="s">
        <v>163</v>
      </c>
      <c r="I30" s="353"/>
      <c r="J30" s="352"/>
      <c r="K30" s="352"/>
    </row>
    <row r="31" spans="1:11" x14ac:dyDescent="0.25">
      <c r="A31" s="70" t="s">
        <v>162</v>
      </c>
      <c r="B31" s="295">
        <v>200</v>
      </c>
      <c r="C31" s="50">
        <f>IF(OR(B31&lt;40,B31&gt;800),"gibt es nicht",(B31*0.025-1))</f>
        <v>4</v>
      </c>
      <c r="D31" s="71" t="s">
        <v>164</v>
      </c>
      <c r="E31" s="400"/>
      <c r="I31" s="353"/>
      <c r="J31" s="354"/>
      <c r="K31" s="354"/>
    </row>
    <row r="32" spans="1:11" x14ac:dyDescent="0.25">
      <c r="A32" s="26" t="s">
        <v>51</v>
      </c>
      <c r="B32" s="290" t="s">
        <v>31</v>
      </c>
      <c r="C32" s="103">
        <f>VLOOKUP(B32,J12:K18,2,FALSE)</f>
        <v>0</v>
      </c>
      <c r="D32" s="195" t="s">
        <v>50</v>
      </c>
      <c r="F32" s="4"/>
      <c r="I32" s="353"/>
      <c r="J32" s="353"/>
      <c r="K32" s="353"/>
    </row>
    <row r="33" spans="1:11" x14ac:dyDescent="0.25">
      <c r="A33" s="26" t="s">
        <v>46</v>
      </c>
      <c r="B33" s="361">
        <v>0</v>
      </c>
      <c r="C33" s="47">
        <f>B33*10*C32*1.5</f>
        <v>0</v>
      </c>
      <c r="D33" s="71" t="s">
        <v>163</v>
      </c>
      <c r="I33" s="353"/>
      <c r="J33" s="353"/>
      <c r="K33" s="353"/>
    </row>
    <row r="34" spans="1:11" ht="15.75" x14ac:dyDescent="0.25">
      <c r="A34" s="52" t="s">
        <v>47</v>
      </c>
      <c r="B34" s="224" t="str">
        <f>IF(B33&gt;3,"Sind Sie sicher?"," ")</f>
        <v xml:space="preserve"> </v>
      </c>
      <c r="C34" s="47"/>
      <c r="D34" s="77"/>
      <c r="I34" s="353"/>
      <c r="J34" s="353"/>
      <c r="K34" s="353"/>
    </row>
    <row r="35" spans="1:11" ht="29.25" customHeight="1" thickBot="1" x14ac:dyDescent="0.3">
      <c r="A35" s="197"/>
      <c r="B35" s="114" t="s">
        <v>615</v>
      </c>
      <c r="C35" s="226">
        <f>(C52+C54)*0.94</f>
        <v>198.80766620689656</v>
      </c>
      <c r="D35" s="39"/>
      <c r="I35" s="353"/>
      <c r="J35" s="353"/>
      <c r="K35" s="353"/>
    </row>
    <row r="36" spans="1:11" ht="30" customHeight="1" thickBot="1" x14ac:dyDescent="0.3">
      <c r="A36" s="544" t="s">
        <v>444</v>
      </c>
      <c r="B36" s="639" t="s">
        <v>757</v>
      </c>
      <c r="C36" s="239">
        <f>C35-C11-C12*0.875-C13*0.75-C14*1.5-C15*1.5-C16*0.85-C30+C31-C33*1.5</f>
        <v>128.18266620689656</v>
      </c>
      <c r="D36" s="79" t="str">
        <f>IF(C36&gt;C18,"Obergrenze einhalten!!!"," ")</f>
        <v xml:space="preserve"> </v>
      </c>
      <c r="I36" s="353"/>
      <c r="J36" s="353"/>
      <c r="K36" s="353"/>
    </row>
    <row r="37" spans="1:11" ht="9.75" customHeight="1" x14ac:dyDescent="0.25"/>
    <row r="38" spans="1:11" ht="31.5" customHeight="1" x14ac:dyDescent="0.25">
      <c r="A38" s="302"/>
      <c r="B38" s="68"/>
      <c r="C38" s="303" t="s">
        <v>730</v>
      </c>
      <c r="D38" s="133"/>
      <c r="F38" s="519" t="s">
        <v>183</v>
      </c>
      <c r="G38" s="122" t="s">
        <v>186</v>
      </c>
      <c r="H38" s="122"/>
      <c r="I38" s="122"/>
    </row>
    <row r="39" spans="1:11" ht="19.5" customHeight="1" x14ac:dyDescent="0.25">
      <c r="A39" s="127"/>
      <c r="B39" s="141" t="s">
        <v>42</v>
      </c>
      <c r="C39" s="132">
        <f>C18</f>
        <v>135</v>
      </c>
      <c r="D39" s="134" t="s">
        <v>4</v>
      </c>
      <c r="F39" s="60" t="s">
        <v>179</v>
      </c>
      <c r="G39" s="60">
        <v>90</v>
      </c>
      <c r="H39" s="611"/>
      <c r="I39" s="611"/>
    </row>
    <row r="40" spans="1:11" ht="19.5" customHeight="1" x14ac:dyDescent="0.25">
      <c r="A40" s="127"/>
      <c r="B40" s="224" t="s">
        <v>546</v>
      </c>
      <c r="C40" s="336">
        <v>0</v>
      </c>
      <c r="D40" s="140" t="s">
        <v>4</v>
      </c>
      <c r="F40" s="60" t="s">
        <v>814</v>
      </c>
      <c r="G40" s="60">
        <v>70</v>
      </c>
      <c r="H40" s="611"/>
      <c r="I40" s="611"/>
    </row>
    <row r="41" spans="1:11" ht="19.5" customHeight="1" x14ac:dyDescent="0.25">
      <c r="A41" s="1602" t="s">
        <v>711</v>
      </c>
      <c r="B41" s="615" t="s">
        <v>710</v>
      </c>
      <c r="C41" s="620">
        <v>0</v>
      </c>
      <c r="D41" s="618" t="s">
        <v>491</v>
      </c>
      <c r="F41" s="60" t="s">
        <v>815</v>
      </c>
      <c r="G41" s="60">
        <v>70</v>
      </c>
      <c r="H41" s="611"/>
      <c r="I41" s="611"/>
    </row>
    <row r="42" spans="1:11" ht="19.5" customHeight="1" x14ac:dyDescent="0.25">
      <c r="A42" s="1603"/>
      <c r="B42" s="616" t="s">
        <v>713</v>
      </c>
      <c r="C42" s="612">
        <v>0</v>
      </c>
      <c r="D42" s="309" t="s">
        <v>492</v>
      </c>
      <c r="F42" s="60" t="s">
        <v>819</v>
      </c>
      <c r="G42" s="519">
        <v>70</v>
      </c>
      <c r="H42" s="611"/>
      <c r="I42" s="611"/>
    </row>
    <row r="43" spans="1:11" ht="19.5" customHeight="1" x14ac:dyDescent="0.25">
      <c r="A43" s="664" t="s">
        <v>827</v>
      </c>
      <c r="B43" s="246" t="s">
        <v>714</v>
      </c>
      <c r="C43" s="619">
        <v>0</v>
      </c>
      <c r="D43" s="309" t="s">
        <v>260</v>
      </c>
      <c r="F43" s="519" t="s">
        <v>820</v>
      </c>
      <c r="G43" s="519">
        <v>60</v>
      </c>
      <c r="H43" s="611"/>
      <c r="I43" s="611"/>
    </row>
    <row r="44" spans="1:11" ht="19.5" customHeight="1" x14ac:dyDescent="0.25">
      <c r="A44" s="1602" t="s">
        <v>712</v>
      </c>
      <c r="B44" s="615" t="s">
        <v>715</v>
      </c>
      <c r="C44" s="612">
        <v>0</v>
      </c>
      <c r="D44" s="618" t="s">
        <v>491</v>
      </c>
      <c r="F44" s="60" t="s">
        <v>48</v>
      </c>
      <c r="G44" s="519">
        <v>60</v>
      </c>
      <c r="H44" s="611"/>
      <c r="I44" s="611"/>
    </row>
    <row r="45" spans="1:11" ht="19.5" customHeight="1" x14ac:dyDescent="0.25">
      <c r="A45" s="1603"/>
      <c r="B45" s="616" t="s">
        <v>716</v>
      </c>
      <c r="C45" s="612">
        <v>0</v>
      </c>
      <c r="D45" s="309" t="s">
        <v>492</v>
      </c>
      <c r="F45" s="60" t="s">
        <v>821</v>
      </c>
      <c r="G45" s="60">
        <v>45</v>
      </c>
      <c r="H45" s="611"/>
      <c r="I45" s="611"/>
    </row>
    <row r="46" spans="1:11" ht="19.5" customHeight="1" x14ac:dyDescent="0.25">
      <c r="A46" s="664" t="s">
        <v>827</v>
      </c>
      <c r="B46" s="617" t="s">
        <v>717</v>
      </c>
      <c r="C46" s="612">
        <v>0</v>
      </c>
      <c r="D46" s="309" t="s">
        <v>260</v>
      </c>
      <c r="F46" s="519" t="s">
        <v>816</v>
      </c>
      <c r="G46" s="519">
        <v>30</v>
      </c>
      <c r="H46" s="611"/>
      <c r="I46" s="611"/>
    </row>
    <row r="47" spans="1:11" ht="19.5" customHeight="1" x14ac:dyDescent="0.25">
      <c r="A47" s="70"/>
      <c r="B47" s="112" t="s">
        <v>261</v>
      </c>
      <c r="C47" s="308">
        <f>(C41*C42*C43/100)+(C44*C45*C46/100)</f>
        <v>0</v>
      </c>
      <c r="D47" s="310" t="s">
        <v>4</v>
      </c>
      <c r="F47" s="60" t="s">
        <v>1034</v>
      </c>
      <c r="G47" s="519">
        <v>30</v>
      </c>
      <c r="H47" s="611"/>
      <c r="I47" s="611"/>
    </row>
    <row r="48" spans="1:11" ht="19.5" customHeight="1" x14ac:dyDescent="0.25">
      <c r="A48" s="306"/>
      <c r="B48" s="307" t="s">
        <v>136</v>
      </c>
      <c r="C48" s="308">
        <f>C39-C40-C47</f>
        <v>135</v>
      </c>
      <c r="D48" s="311" t="s">
        <v>4</v>
      </c>
      <c r="F48" s="60" t="s">
        <v>187</v>
      </c>
      <c r="G48" s="519">
        <v>30</v>
      </c>
      <c r="H48" s="611"/>
      <c r="I48" s="611"/>
    </row>
    <row r="49" spans="1:9" ht="19.5" customHeight="1" x14ac:dyDescent="0.25">
      <c r="E49" s="15"/>
      <c r="F49" s="60" t="s">
        <v>823</v>
      </c>
      <c r="G49" s="519">
        <v>30</v>
      </c>
      <c r="H49" s="611"/>
      <c r="I49" s="611"/>
    </row>
    <row r="50" spans="1:9" ht="19.5" customHeight="1" x14ac:dyDescent="0.25">
      <c r="A50" s="36"/>
      <c r="B50" s="31"/>
      <c r="C50" s="312" t="s">
        <v>60</v>
      </c>
      <c r="D50" s="193"/>
      <c r="F50" s="60" t="s">
        <v>824</v>
      </c>
      <c r="G50" s="519">
        <v>30</v>
      </c>
      <c r="H50" s="611"/>
      <c r="I50" s="611"/>
    </row>
    <row r="51" spans="1:9" ht="19.5" customHeight="1" x14ac:dyDescent="0.25">
      <c r="A51" s="26"/>
      <c r="B51" s="32" t="s">
        <v>73</v>
      </c>
      <c r="C51" s="337">
        <v>10.5</v>
      </c>
      <c r="D51" s="194"/>
      <c r="F51" s="60" t="s">
        <v>825</v>
      </c>
      <c r="G51" s="519">
        <v>30</v>
      </c>
      <c r="H51" s="611"/>
      <c r="I51" s="611"/>
    </row>
    <row r="52" spans="1:9" ht="19.5" customHeight="1" x14ac:dyDescent="0.25">
      <c r="A52" s="26"/>
      <c r="B52" s="32" t="s">
        <v>12</v>
      </c>
      <c r="C52" s="206">
        <f>C7*0.86*C51/6.25</f>
        <v>130.03200000000001</v>
      </c>
      <c r="D52" s="92" t="str">
        <f>IF(C52&gt;200,"mehr als 200 kg Korn-N/ha ist unrealistisch!","Korn-N-Abfuhr")</f>
        <v>Korn-N-Abfuhr</v>
      </c>
      <c r="E52" s="1"/>
      <c r="F52" s="60" t="s">
        <v>180</v>
      </c>
      <c r="G52" s="519">
        <v>25</v>
      </c>
      <c r="H52" s="611"/>
      <c r="I52" s="611"/>
    </row>
    <row r="53" spans="1:9" ht="19.5" customHeight="1" x14ac:dyDescent="0.25">
      <c r="A53" s="26"/>
      <c r="B53" s="81" t="s">
        <v>14</v>
      </c>
      <c r="C53" s="282">
        <f>(190-C7)/100</f>
        <v>1</v>
      </c>
      <c r="D53" s="82" t="s">
        <v>344</v>
      </c>
      <c r="E53" s="1"/>
      <c r="F53" s="60" t="s">
        <v>817</v>
      </c>
      <c r="G53" s="519">
        <v>25</v>
      </c>
    </row>
    <row r="54" spans="1:9" ht="19.5" customHeight="1" x14ac:dyDescent="0.25">
      <c r="A54" s="26"/>
      <c r="B54" s="32" t="s">
        <v>13</v>
      </c>
      <c r="C54" s="201">
        <f>C7*C53*C51/11.6</f>
        <v>81.465517241379317</v>
      </c>
      <c r="D54" s="194"/>
      <c r="F54" s="519" t="s">
        <v>818</v>
      </c>
      <c r="G54" s="519">
        <v>25</v>
      </c>
    </row>
    <row r="55" spans="1:9" ht="19.5" customHeight="1" x14ac:dyDescent="0.25">
      <c r="A55" s="26" t="s">
        <v>68</v>
      </c>
      <c r="B55" s="41" t="s">
        <v>65</v>
      </c>
      <c r="C55" s="101">
        <f>C36-C52</f>
        <v>-1.8493337931034546</v>
      </c>
      <c r="D55" s="202" t="str">
        <f>IF(C55&gt;50,"!!!",(IF(C55&gt;40,"!!",(IF(C55&gt;30,"!"," ")))))</f>
        <v xml:space="preserve"> </v>
      </c>
      <c r="F55" s="519" t="s">
        <v>826</v>
      </c>
      <c r="G55" s="519">
        <v>10</v>
      </c>
    </row>
    <row r="56" spans="1:9" ht="19.5" customHeight="1" x14ac:dyDescent="0.25">
      <c r="A56" s="629" t="s">
        <v>739</v>
      </c>
      <c r="B56" s="41" t="s">
        <v>66</v>
      </c>
      <c r="C56" s="187">
        <f>C36-C52-C54</f>
        <v>-83.314851034482771</v>
      </c>
      <c r="D56" s="203"/>
      <c r="F56" s="519" t="s">
        <v>181</v>
      </c>
      <c r="G56" s="519">
        <v>10</v>
      </c>
    </row>
    <row r="57" spans="1:9" ht="19.5" customHeight="1" x14ac:dyDescent="0.25">
      <c r="A57" s="628" t="s">
        <v>67</v>
      </c>
      <c r="B57" s="41" t="s">
        <v>65</v>
      </c>
      <c r="C57" s="187">
        <f>C18-C52</f>
        <v>4.9679999999999893</v>
      </c>
      <c r="D57" s="202" t="str">
        <f>IF(C57&gt;50,"!!!",(IF(C57&gt;40,"!!",(IF(C57&gt;30,"!"," ")))))</f>
        <v xml:space="preserve"> </v>
      </c>
      <c r="F57" s="519" t="s">
        <v>188</v>
      </c>
      <c r="G57" s="519">
        <v>5</v>
      </c>
    </row>
    <row r="58" spans="1:9" ht="19.5" customHeight="1" x14ac:dyDescent="0.25">
      <c r="A58" s="729" t="s">
        <v>739</v>
      </c>
      <c r="B58" s="85" t="s">
        <v>66</v>
      </c>
      <c r="C58" s="188">
        <f>C18-C52-C54</f>
        <v>-76.497517241379327</v>
      </c>
      <c r="D58" s="205"/>
      <c r="F58" s="519" t="s">
        <v>182</v>
      </c>
      <c r="G58" s="519">
        <v>3</v>
      </c>
    </row>
    <row r="59" spans="1:9" ht="19.5" customHeight="1" x14ac:dyDescent="0.25"/>
    <row r="60" spans="1:9" ht="19.5" customHeight="1" x14ac:dyDescent="0.25">
      <c r="A60" s="91" t="s">
        <v>167</v>
      </c>
      <c r="B60" s="89"/>
      <c r="C60" s="313"/>
      <c r="D60" s="15"/>
    </row>
    <row r="61" spans="1:9" ht="68.25" customHeight="1" x14ac:dyDescent="0.25">
      <c r="A61" s="18" t="s">
        <v>400</v>
      </c>
      <c r="B61" s="1596" t="s">
        <v>435</v>
      </c>
      <c r="C61" s="1267"/>
      <c r="D61" s="1267"/>
    </row>
    <row r="62" spans="1:9" ht="70.5" customHeight="1" x14ac:dyDescent="0.25">
      <c r="A62" s="18" t="s">
        <v>405</v>
      </c>
      <c r="B62" s="1596" t="s">
        <v>500</v>
      </c>
      <c r="C62" s="1267"/>
      <c r="D62" s="1267"/>
    </row>
    <row r="63" spans="1:9" ht="26.25" customHeight="1" x14ac:dyDescent="0.25">
      <c r="A63" s="1636" t="s">
        <v>403</v>
      </c>
      <c r="B63" s="713" t="s">
        <v>419</v>
      </c>
      <c r="C63" s="90" t="s">
        <v>437</v>
      </c>
      <c r="D63" s="15"/>
    </row>
    <row r="64" spans="1:9" ht="63.75" customHeight="1" x14ac:dyDescent="0.25">
      <c r="A64" s="1637"/>
      <c r="B64" s="1596" t="s">
        <v>436</v>
      </c>
      <c r="C64" s="1463"/>
      <c r="D64" s="1463"/>
    </row>
    <row r="65" ht="20.25" customHeight="1" x14ac:dyDescent="0.25"/>
    <row r="66" ht="69.75" customHeight="1" x14ac:dyDescent="0.25"/>
  </sheetData>
  <sheetProtection sheet="1" formatCells="0" formatColumns="0" formatRows="0" selectLockedCells="1"/>
  <mergeCells count="14">
    <mergeCell ref="B61:D61"/>
    <mergeCell ref="B62:D62"/>
    <mergeCell ref="A63:A64"/>
    <mergeCell ref="B64:D64"/>
    <mergeCell ref="A44:A45"/>
    <mergeCell ref="A29:B29"/>
    <mergeCell ref="A41:A42"/>
    <mergeCell ref="A5:D5"/>
    <mergeCell ref="A6:B6"/>
    <mergeCell ref="A20:B20"/>
    <mergeCell ref="A21:A25"/>
    <mergeCell ref="A26:A27"/>
    <mergeCell ref="B26:B27"/>
    <mergeCell ref="C26:D27"/>
  </mergeCells>
  <dataValidations count="5">
    <dataValidation type="list" allowBlank="1" sqref="B14" xr:uid="{00000000-0002-0000-1B00-000000000000}">
      <formula1>$G$19:$G$29</formula1>
    </dataValidation>
    <dataValidation type="list" allowBlank="1" showInputMessage="1" showErrorMessage="1" sqref="B32" xr:uid="{00000000-0002-0000-1B00-000001000000}">
      <formula1>J12:J18</formula1>
    </dataValidation>
    <dataValidation type="list" allowBlank="1" sqref="B15" xr:uid="{00000000-0002-0000-1B00-000002000000}">
      <formula1>Vorfrucht</formula1>
    </dataValidation>
    <dataValidation type="list" allowBlank="1" sqref="J8:J9" xr:uid="{00000000-0002-0000-1B00-000003000000}">
      <formula1>"Humusgehalt"</formula1>
    </dataValidation>
    <dataValidation type="list" allowBlank="1" sqref="B17" xr:uid="{00000000-0002-0000-1B00-000004000000}">
      <formula1>"bis 4 %, größer 4 %"</formula1>
    </dataValidation>
  </dataValidations>
  <pageMargins left="0.7" right="0.7" top="0.78740157499999996" bottom="0.78740157499999996" header="0.3" footer="0.3"/>
  <pageSetup paperSize="9" scale="65" orientation="portrait" horizontalDpi="4294967293" verticalDpi="4294967293"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Tabelle35">
    <tabColor theme="0"/>
    <pageSetUpPr fitToPage="1"/>
  </sheetPr>
  <dimension ref="A1:L104"/>
  <sheetViews>
    <sheetView zoomScaleNormal="100" workbookViewId="0">
      <selection activeCell="C7" sqref="C7"/>
    </sheetView>
  </sheetViews>
  <sheetFormatPr baseColWidth="10" defaultRowHeight="15" x14ac:dyDescent="0.25"/>
  <cols>
    <col min="1" max="1" width="41.85546875" style="32" customWidth="1"/>
    <col min="2" max="2" width="39.85546875" style="8" customWidth="1"/>
    <col min="3" max="3" width="22.5703125" style="3" customWidth="1"/>
    <col min="4" max="4" width="23.5703125" customWidth="1"/>
    <col min="5" max="5" width="21.7109375" style="3" customWidth="1"/>
    <col min="6" max="6" width="36.85546875" customWidth="1"/>
    <col min="7" max="7" width="40.42578125" customWidth="1"/>
    <col min="8" max="8" width="21" style="3" customWidth="1"/>
    <col min="9" max="9" width="23.7109375" customWidth="1"/>
    <col min="10" max="10" width="29.42578125" customWidth="1"/>
  </cols>
  <sheetData>
    <row r="1" spans="1:12" x14ac:dyDescent="0.25">
      <c r="B1" s="112" t="str">
        <f>'DüV-N-Ackerbau (1)'!C1</f>
        <v>Testbetrieb</v>
      </c>
      <c r="C1" s="112" t="str">
        <f>'DüV-N-Ackerbau (1)'!F1</f>
        <v>Erntejahr</v>
      </c>
      <c r="F1" s="6" t="s">
        <v>36</v>
      </c>
      <c r="G1" s="3"/>
    </row>
    <row r="2" spans="1:12" x14ac:dyDescent="0.25">
      <c r="B2" s="112">
        <f>'DüV-N-Ackerbau (1)'!C2</f>
        <v>1</v>
      </c>
      <c r="C2" s="112">
        <f>'DüV-N-Ackerbau (1)'!G1</f>
        <v>2022</v>
      </c>
      <c r="F2" s="7" t="s">
        <v>34</v>
      </c>
    </row>
    <row r="3" spans="1:12" x14ac:dyDescent="0.25">
      <c r="B3" s="112">
        <f>'DüV-N-Ackerbau (1)'!C3</f>
        <v>123456</v>
      </c>
      <c r="C3" s="41"/>
    </row>
    <row r="4" spans="1:12" ht="8.25" customHeight="1" thickBot="1" x14ac:dyDescent="0.3"/>
    <row r="5" spans="1:12" ht="21.75" thickBot="1" x14ac:dyDescent="0.3">
      <c r="A5" s="1604" t="s">
        <v>71</v>
      </c>
      <c r="B5" s="1605"/>
      <c r="C5" s="1605"/>
      <c r="D5" s="1605"/>
      <c r="E5" s="1606"/>
      <c r="F5" s="53"/>
    </row>
    <row r="6" spans="1:12" ht="51.75" customHeight="1" thickBot="1" x14ac:dyDescent="0.3">
      <c r="A6" s="1607" t="s">
        <v>580</v>
      </c>
      <c r="B6" s="1608"/>
      <c r="C6" s="280" t="s">
        <v>579</v>
      </c>
      <c r="D6" s="1404" t="s">
        <v>534</v>
      </c>
      <c r="E6" s="1608"/>
      <c r="F6" s="1"/>
      <c r="G6" s="352"/>
      <c r="H6" s="351" t="s">
        <v>5</v>
      </c>
      <c r="I6" s="352"/>
      <c r="J6" s="352" t="s">
        <v>159</v>
      </c>
      <c r="K6" s="352"/>
      <c r="L6" s="352"/>
    </row>
    <row r="7" spans="1:12" ht="15.75" x14ac:dyDescent="0.25">
      <c r="A7" s="63"/>
      <c r="B7" s="32" t="s">
        <v>75</v>
      </c>
      <c r="C7" s="287">
        <v>450</v>
      </c>
      <c r="D7" s="1689"/>
      <c r="E7" s="1355"/>
      <c r="F7" s="64"/>
      <c r="G7" s="351" t="s">
        <v>6</v>
      </c>
      <c r="H7" s="352"/>
      <c r="I7" s="352"/>
      <c r="J7" s="352" t="s">
        <v>160</v>
      </c>
      <c r="K7" s="352">
        <v>0</v>
      </c>
      <c r="L7" s="352"/>
    </row>
    <row r="8" spans="1:12" x14ac:dyDescent="0.25">
      <c r="A8" s="63"/>
      <c r="B8" s="33" t="s">
        <v>308</v>
      </c>
      <c r="C8" s="338">
        <v>30</v>
      </c>
      <c r="D8" s="1689"/>
      <c r="E8" s="1355"/>
      <c r="G8" s="352" t="s">
        <v>510</v>
      </c>
      <c r="H8" s="352">
        <v>0</v>
      </c>
      <c r="I8" s="352"/>
      <c r="J8" s="352" t="s">
        <v>161</v>
      </c>
      <c r="K8" s="352">
        <v>20</v>
      </c>
      <c r="L8" s="352"/>
    </row>
    <row r="9" spans="1:12" ht="15" customHeight="1" x14ac:dyDescent="0.25">
      <c r="A9" s="1690" t="s">
        <v>446</v>
      </c>
      <c r="B9" s="1691"/>
      <c r="C9" s="347" t="str">
        <f>IF(OR(C7&lt;150,C7&gt;800),"Sind Sie sicher?"," ")</f>
        <v xml:space="preserve"> </v>
      </c>
      <c r="D9" s="1689"/>
      <c r="E9" s="1355"/>
      <c r="G9" s="352" t="s">
        <v>22</v>
      </c>
      <c r="H9" s="352">
        <v>10</v>
      </c>
      <c r="I9" s="352"/>
      <c r="J9" s="352"/>
      <c r="K9" s="352"/>
      <c r="L9" s="352"/>
    </row>
    <row r="10" spans="1:12" ht="15.75" x14ac:dyDescent="0.25">
      <c r="A10" s="63"/>
      <c r="B10" s="33"/>
      <c r="C10" s="227" t="s">
        <v>4</v>
      </c>
      <c r="D10" s="1689"/>
      <c r="E10" s="1355"/>
      <c r="G10" s="352" t="s">
        <v>535</v>
      </c>
      <c r="H10" s="352">
        <v>10</v>
      </c>
      <c r="I10" s="352"/>
      <c r="J10" s="352"/>
      <c r="K10" s="352"/>
      <c r="L10" s="352"/>
    </row>
    <row r="11" spans="1:12" ht="15.75" x14ac:dyDescent="0.25">
      <c r="A11" s="63"/>
      <c r="B11" s="32" t="s">
        <v>37</v>
      </c>
      <c r="C11" s="227">
        <f>IF(C7&lt;450,65+C7*0.3,(IF(C7&gt;=450,200+(C7-450)*0.2)))</f>
        <v>200</v>
      </c>
      <c r="D11" s="1689"/>
      <c r="E11" s="1355"/>
      <c r="G11" s="352" t="s">
        <v>7</v>
      </c>
      <c r="H11" s="352">
        <v>10</v>
      </c>
      <c r="I11" s="352"/>
      <c r="J11" s="352"/>
      <c r="K11" s="352"/>
      <c r="L11" s="352"/>
    </row>
    <row r="12" spans="1:12" ht="18" x14ac:dyDescent="0.35">
      <c r="A12" s="63"/>
      <c r="B12" s="32" t="s">
        <v>38</v>
      </c>
      <c r="C12" s="360">
        <v>30</v>
      </c>
      <c r="D12" s="1689"/>
      <c r="E12" s="1355"/>
      <c r="G12" s="352" t="s">
        <v>17</v>
      </c>
      <c r="H12" s="352">
        <v>20</v>
      </c>
      <c r="I12" s="352"/>
      <c r="J12" s="352"/>
      <c r="K12" s="352"/>
      <c r="L12" s="352"/>
    </row>
    <row r="13" spans="1:12" ht="18" x14ac:dyDescent="0.35">
      <c r="A13" s="63"/>
      <c r="B13" s="32" t="s">
        <v>39</v>
      </c>
      <c r="C13" s="360">
        <v>20</v>
      </c>
      <c r="D13" s="1689"/>
      <c r="E13" s="1355"/>
      <c r="G13" s="352" t="s">
        <v>23</v>
      </c>
      <c r="H13" s="352">
        <v>0</v>
      </c>
      <c r="I13" s="352"/>
      <c r="J13" s="352"/>
      <c r="K13" s="352"/>
      <c r="L13" s="352"/>
    </row>
    <row r="14" spans="1:12" ht="18" x14ac:dyDescent="0.35">
      <c r="A14" s="63"/>
      <c r="B14" s="32" t="s">
        <v>40</v>
      </c>
      <c r="C14" s="360">
        <v>10</v>
      </c>
      <c r="D14" s="1689"/>
      <c r="E14" s="1355"/>
      <c r="G14" s="352" t="s">
        <v>20</v>
      </c>
      <c r="H14" s="352">
        <v>20</v>
      </c>
      <c r="I14" s="352"/>
      <c r="J14" s="352"/>
      <c r="K14" s="352"/>
      <c r="L14" s="352"/>
    </row>
    <row r="15" spans="1:12" x14ac:dyDescent="0.25">
      <c r="A15" s="63" t="s">
        <v>8</v>
      </c>
      <c r="B15" s="290" t="s">
        <v>31</v>
      </c>
      <c r="C15" s="718">
        <f>VLOOKUP(B15,G22:H32,2,FALSE)</f>
        <v>0</v>
      </c>
      <c r="D15" s="1689"/>
      <c r="E15" s="1355"/>
      <c r="G15" s="352" t="s">
        <v>19</v>
      </c>
      <c r="H15" s="352">
        <v>10</v>
      </c>
      <c r="I15" s="352"/>
      <c r="J15" s="352"/>
      <c r="K15" s="352"/>
      <c r="L15" s="352"/>
    </row>
    <row r="16" spans="1:12" x14ac:dyDescent="0.25">
      <c r="A16" s="63" t="s">
        <v>6</v>
      </c>
      <c r="B16" s="290" t="s">
        <v>510</v>
      </c>
      <c r="C16" s="718">
        <f>VLOOKUP(B16,G8:H18,2,FALSE)</f>
        <v>0</v>
      </c>
      <c r="D16" s="1689"/>
      <c r="E16" s="1355"/>
      <c r="G16" s="352" t="s">
        <v>536</v>
      </c>
      <c r="H16" s="352">
        <v>0</v>
      </c>
      <c r="I16" s="352"/>
      <c r="J16" s="352"/>
      <c r="K16" s="352"/>
      <c r="L16" s="352"/>
    </row>
    <row r="17" spans="1:12" ht="15.75" x14ac:dyDescent="0.25">
      <c r="A17" s="59" t="s">
        <v>1073</v>
      </c>
      <c r="B17" s="8" t="s">
        <v>24</v>
      </c>
      <c r="C17" s="716">
        <v>20</v>
      </c>
      <c r="D17" s="1689"/>
      <c r="E17" s="1355"/>
      <c r="F17" s="358" t="str">
        <f>IF(D17&gt;25,"Sind Sie sicher?"," ")</f>
        <v xml:space="preserve"> </v>
      </c>
      <c r="G17" s="352" t="s">
        <v>21</v>
      </c>
      <c r="H17" s="352">
        <v>10</v>
      </c>
      <c r="I17" s="352"/>
      <c r="J17" s="352"/>
      <c r="K17" s="352"/>
      <c r="L17" s="352"/>
    </row>
    <row r="18" spans="1:12" ht="15.75" thickBot="1" x14ac:dyDescent="0.3">
      <c r="A18" s="59" t="s">
        <v>159</v>
      </c>
      <c r="B18" s="292" t="s">
        <v>160</v>
      </c>
      <c r="C18" s="702">
        <f>VLOOKUP(B18,J7:K8,2,FALSE)</f>
        <v>0</v>
      </c>
      <c r="D18" s="1689"/>
      <c r="E18" s="1355"/>
      <c r="G18" s="352" t="s">
        <v>18</v>
      </c>
      <c r="H18" s="352">
        <v>20</v>
      </c>
      <c r="I18" s="352"/>
      <c r="J18" s="352"/>
      <c r="K18" s="352"/>
      <c r="L18" s="352"/>
    </row>
    <row r="19" spans="1:12" ht="23.25" customHeight="1" thickBot="1" x14ac:dyDescent="0.3">
      <c r="A19" s="251"/>
      <c r="B19" s="243" t="s">
        <v>475</v>
      </c>
      <c r="C19" s="239">
        <f>C11-SUM(C12:C18)</f>
        <v>120</v>
      </c>
      <c r="D19" s="1692" t="s">
        <v>477</v>
      </c>
      <c r="E19" s="1693"/>
      <c r="F19" s="1"/>
      <c r="G19" s="352"/>
      <c r="H19" s="352"/>
      <c r="I19" s="352"/>
      <c r="J19" s="352"/>
      <c r="K19" s="352"/>
      <c r="L19" s="352"/>
    </row>
    <row r="20" spans="1:12" ht="10.5" customHeight="1" thickBot="1" x14ac:dyDescent="0.3">
      <c r="B20" s="141"/>
      <c r="C20" s="10"/>
      <c r="D20" s="112"/>
      <c r="E20" s="80"/>
      <c r="F20" s="1"/>
      <c r="G20" s="352"/>
      <c r="H20" s="352"/>
      <c r="I20" s="352"/>
      <c r="J20" s="352"/>
      <c r="K20" s="352"/>
      <c r="L20" s="352"/>
    </row>
    <row r="21" spans="1:12" ht="23.25" customHeight="1" x14ac:dyDescent="0.25">
      <c r="A21" s="1607" t="s">
        <v>584</v>
      </c>
      <c r="B21" s="1609"/>
      <c r="C21" s="660" t="s">
        <v>593</v>
      </c>
      <c r="D21" s="1694"/>
      <c r="E21" s="1695"/>
      <c r="F21" s="1"/>
      <c r="G21" s="351" t="s">
        <v>8</v>
      </c>
      <c r="H21" s="352"/>
      <c r="I21" s="352"/>
      <c r="J21" s="351" t="s">
        <v>49</v>
      </c>
      <c r="K21" s="352"/>
      <c r="L21" s="352"/>
    </row>
    <row r="22" spans="1:12" ht="19.5" customHeight="1" x14ac:dyDescent="0.25">
      <c r="A22" s="1610" t="s">
        <v>596</v>
      </c>
      <c r="B22" s="464" t="s">
        <v>585</v>
      </c>
      <c r="C22" s="462" t="s">
        <v>71</v>
      </c>
      <c r="D22" s="1696"/>
      <c r="E22" s="1697"/>
      <c r="F22" s="1"/>
      <c r="G22" s="352" t="s">
        <v>31</v>
      </c>
      <c r="H22" s="352">
        <v>0</v>
      </c>
      <c r="I22" s="352"/>
      <c r="J22" s="971" t="s">
        <v>1225</v>
      </c>
      <c r="K22" s="971">
        <v>1</v>
      </c>
      <c r="L22" s="352"/>
    </row>
    <row r="23" spans="1:12" ht="19.5" customHeight="1" x14ac:dyDescent="0.25">
      <c r="A23" s="1611"/>
      <c r="B23" s="442" t="s">
        <v>589</v>
      </c>
      <c r="C23" s="226">
        <f>C25*2</f>
        <v>137.69999999999999</v>
      </c>
      <c r="D23" s="1696"/>
      <c r="E23" s="1697"/>
      <c r="F23" s="1"/>
      <c r="G23" s="352" t="s">
        <v>25</v>
      </c>
      <c r="H23" s="352">
        <v>0</v>
      </c>
      <c r="I23" s="352"/>
      <c r="J23" s="971" t="s">
        <v>184</v>
      </c>
      <c r="K23" s="971">
        <v>0.5</v>
      </c>
      <c r="L23" s="352"/>
    </row>
    <row r="24" spans="1:12" ht="19.5" customHeight="1" x14ac:dyDescent="0.25">
      <c r="A24" s="1611"/>
      <c r="B24" s="442" t="s">
        <v>590</v>
      </c>
      <c r="C24" s="226">
        <f>C25*1.5</f>
        <v>103.27499999999999</v>
      </c>
      <c r="D24" s="1696"/>
      <c r="E24" s="1697"/>
      <c r="F24" s="1"/>
      <c r="G24" s="352" t="s">
        <v>26</v>
      </c>
      <c r="H24" s="352">
        <v>0</v>
      </c>
      <c r="I24" s="352"/>
      <c r="J24" s="971" t="s">
        <v>1227</v>
      </c>
      <c r="K24" s="971">
        <v>0.6</v>
      </c>
      <c r="L24" s="352"/>
    </row>
    <row r="25" spans="1:12" ht="19.5" customHeight="1" x14ac:dyDescent="0.25">
      <c r="A25" s="1611"/>
      <c r="B25" s="442" t="s">
        <v>591</v>
      </c>
      <c r="C25" s="446">
        <f>E30*0.51</f>
        <v>68.849999999999994</v>
      </c>
      <c r="D25" s="1696"/>
      <c r="E25" s="1697"/>
      <c r="F25" s="1"/>
      <c r="G25" s="352" t="s">
        <v>27</v>
      </c>
      <c r="H25" s="352">
        <v>20</v>
      </c>
      <c r="I25" s="352"/>
      <c r="J25" s="971" t="s">
        <v>1228</v>
      </c>
      <c r="K25" s="971">
        <v>0.4</v>
      </c>
      <c r="L25" s="352"/>
    </row>
    <row r="26" spans="1:12" ht="19.5" customHeight="1" x14ac:dyDescent="0.25">
      <c r="A26" s="1421"/>
      <c r="B26" s="472" t="s">
        <v>592</v>
      </c>
      <c r="C26" s="226">
        <f>C25*0.5</f>
        <v>34.424999999999997</v>
      </c>
      <c r="D26" s="1696"/>
      <c r="E26" s="1697"/>
      <c r="F26" s="1"/>
      <c r="G26" s="352" t="s">
        <v>28</v>
      </c>
      <c r="H26" s="352">
        <v>10</v>
      </c>
      <c r="I26" s="352"/>
      <c r="J26" s="971" t="s">
        <v>1226</v>
      </c>
      <c r="K26" s="971">
        <v>0.35</v>
      </c>
      <c r="L26" s="352"/>
    </row>
    <row r="27" spans="1:12" ht="24" customHeight="1" x14ac:dyDescent="0.25">
      <c r="A27" s="1624"/>
      <c r="B27" s="1625" t="s">
        <v>594</v>
      </c>
      <c r="C27" s="1698" t="s">
        <v>597</v>
      </c>
      <c r="D27" s="1699"/>
      <c r="E27" s="1700"/>
      <c r="F27" s="1"/>
      <c r="G27" s="352" t="s">
        <v>29</v>
      </c>
      <c r="H27" s="352">
        <v>10</v>
      </c>
      <c r="I27" s="352"/>
      <c r="J27" s="971" t="s">
        <v>48</v>
      </c>
      <c r="K27" s="971">
        <v>0.3</v>
      </c>
      <c r="L27" s="352"/>
    </row>
    <row r="28" spans="1:12" ht="25.5" customHeight="1" thickBot="1" x14ac:dyDescent="0.3">
      <c r="A28" s="1621"/>
      <c r="B28" s="1623"/>
      <c r="C28" s="1667"/>
      <c r="D28" s="1668"/>
      <c r="E28" s="1309"/>
      <c r="F28" s="1"/>
      <c r="G28" s="352" t="s">
        <v>681</v>
      </c>
      <c r="H28" s="352">
        <v>30</v>
      </c>
      <c r="I28" s="352"/>
      <c r="J28" s="971" t="s">
        <v>31</v>
      </c>
      <c r="K28" s="971">
        <v>0</v>
      </c>
      <c r="L28" s="352"/>
    </row>
    <row r="29" spans="1:12" ht="11.25" customHeight="1" thickBot="1" x14ac:dyDescent="0.3">
      <c r="G29" s="352" t="s">
        <v>30</v>
      </c>
      <c r="H29" s="352">
        <v>40</v>
      </c>
      <c r="I29" s="352"/>
      <c r="J29" s="352"/>
      <c r="K29" s="352"/>
      <c r="L29" s="352"/>
    </row>
    <row r="30" spans="1:12" ht="32.25" customHeight="1" thickBot="1" x14ac:dyDescent="0.3">
      <c r="A30" s="1630" t="s">
        <v>498</v>
      </c>
      <c r="B30" s="1631"/>
      <c r="C30" s="233" t="s">
        <v>392</v>
      </c>
      <c r="D30" s="168" t="s">
        <v>158</v>
      </c>
      <c r="E30" s="62">
        <f>C7*C8/100</f>
        <v>135</v>
      </c>
      <c r="G30" s="352" t="s">
        <v>9</v>
      </c>
      <c r="H30" s="352">
        <v>0</v>
      </c>
      <c r="I30" s="352"/>
      <c r="J30" s="352"/>
      <c r="K30" s="352"/>
      <c r="L30" s="352"/>
    </row>
    <row r="31" spans="1:12" x14ac:dyDescent="0.25">
      <c r="A31" s="36" t="s">
        <v>35</v>
      </c>
      <c r="B31" s="294">
        <v>60</v>
      </c>
      <c r="C31" s="102">
        <f>IF(OR(B31&lt;1,B31&gt;100),"Zahl 0 bis 100 eingeben",(-0.0025*B31*B31+0.75*B31-26)*0.4)</f>
        <v>4</v>
      </c>
      <c r="D31" s="15" t="s">
        <v>163</v>
      </c>
      <c r="E31" s="719"/>
      <c r="G31" s="352" t="s">
        <v>10</v>
      </c>
      <c r="H31" s="352">
        <v>10</v>
      </c>
      <c r="L31" s="352"/>
    </row>
    <row r="32" spans="1:12" x14ac:dyDescent="0.25">
      <c r="A32" s="70" t="s">
        <v>162</v>
      </c>
      <c r="B32" s="295">
        <v>200</v>
      </c>
      <c r="C32" s="50">
        <f>IF(OR(B32&lt;40,B32&gt;800),"gibt es nicht",(B32*0.025-1))</f>
        <v>4</v>
      </c>
      <c r="D32" s="15" t="s">
        <v>164</v>
      </c>
      <c r="E32" s="719"/>
      <c r="G32" s="352" t="s">
        <v>31</v>
      </c>
      <c r="H32" s="352">
        <v>0</v>
      </c>
      <c r="L32" s="352"/>
    </row>
    <row r="33" spans="1:12" x14ac:dyDescent="0.25">
      <c r="A33" s="26" t="s">
        <v>51</v>
      </c>
      <c r="B33" s="290" t="s">
        <v>31</v>
      </c>
      <c r="C33" s="103">
        <f>VLOOKUP(B33,J22:K28,2,FALSE)</f>
        <v>0</v>
      </c>
      <c r="D33" s="57" t="s">
        <v>50</v>
      </c>
      <c r="E33" s="719"/>
      <c r="L33" s="352"/>
    </row>
    <row r="34" spans="1:12" x14ac:dyDescent="0.25">
      <c r="A34" s="26" t="s">
        <v>46</v>
      </c>
      <c r="B34" s="361">
        <v>0</v>
      </c>
      <c r="C34" s="47">
        <f>B34*10*C33*1.5</f>
        <v>0</v>
      </c>
      <c r="D34" s="15" t="s">
        <v>163</v>
      </c>
      <c r="E34" s="719"/>
      <c r="L34" s="352"/>
    </row>
    <row r="35" spans="1:12" ht="15.75" x14ac:dyDescent="0.25">
      <c r="A35" s="52" t="s">
        <v>47</v>
      </c>
      <c r="B35" s="224" t="str">
        <f>IF(B34&gt;3,"Sind Sie sicher?"," ")</f>
        <v xml:space="preserve"> </v>
      </c>
      <c r="C35" s="47"/>
      <c r="E35" s="719"/>
      <c r="L35" s="352"/>
    </row>
    <row r="36" spans="1:12" ht="15" customHeight="1" x14ac:dyDescent="0.25">
      <c r="A36" s="26"/>
      <c r="B36" s="51"/>
      <c r="C36" s="47"/>
      <c r="E36" s="719"/>
      <c r="L36" s="352"/>
    </row>
    <row r="37" spans="1:12" ht="16.5" thickBot="1" x14ac:dyDescent="0.3">
      <c r="A37" s="26"/>
      <c r="B37" s="37" t="s">
        <v>438</v>
      </c>
      <c r="C37" s="104">
        <f>-0.00328*E30*E30+1.775*E30+13</f>
        <v>192.84700000000001</v>
      </c>
      <c r="D37" t="s">
        <v>77</v>
      </c>
      <c r="E37" s="719"/>
      <c r="L37" s="352"/>
    </row>
    <row r="38" spans="1:12" ht="35.25" customHeight="1" thickBot="1" x14ac:dyDescent="0.3">
      <c r="A38" s="26"/>
      <c r="B38" s="237" t="s">
        <v>52</v>
      </c>
      <c r="C38" s="239">
        <f>C37-C12-C13*0.875-C14*0.75-C15*1.5-C16*1.5-C17*0.8-C31+C32-C34*1.5</f>
        <v>121.84700000000001</v>
      </c>
      <c r="D38" s="238" t="s">
        <v>4</v>
      </c>
      <c r="E38" s="1701" t="s">
        <v>342</v>
      </c>
      <c r="L38" s="352"/>
    </row>
    <row r="39" spans="1:12" ht="14.25" customHeight="1" x14ac:dyDescent="0.25">
      <c r="A39" s="40"/>
      <c r="B39" s="58" t="s">
        <v>58</v>
      </c>
      <c r="C39" s="105" t="str">
        <f>IF(C38&gt;C19,"Obergrenze einhalten!"," ")</f>
        <v>Obergrenze einhalten!</v>
      </c>
      <c r="D39" s="35"/>
      <c r="E39" s="1349"/>
      <c r="L39" s="352"/>
    </row>
    <row r="40" spans="1:12" ht="11.25" customHeight="1" x14ac:dyDescent="0.25">
      <c r="A40" s="710"/>
      <c r="B40" s="365"/>
      <c r="C40" s="111"/>
      <c r="D40" s="177"/>
      <c r="E40" s="717"/>
    </row>
    <row r="41" spans="1:12" ht="34.5" customHeight="1" x14ac:dyDescent="0.25">
      <c r="A41" s="302"/>
      <c r="B41" s="68"/>
      <c r="C41" s="303" t="s">
        <v>730</v>
      </c>
      <c r="D41" s="133"/>
      <c r="F41" s="519" t="s">
        <v>183</v>
      </c>
      <c r="G41" s="122" t="s">
        <v>186</v>
      </c>
      <c r="H41" s="122"/>
      <c r="I41" s="122"/>
    </row>
    <row r="42" spans="1:12" ht="18.75" customHeight="1" x14ac:dyDescent="0.25">
      <c r="A42" s="127"/>
      <c r="B42" s="141" t="s">
        <v>42</v>
      </c>
      <c r="C42" s="132">
        <f>C19</f>
        <v>120</v>
      </c>
      <c r="D42" s="134" t="s">
        <v>4</v>
      </c>
      <c r="F42" s="60" t="s">
        <v>179</v>
      </c>
      <c r="G42" s="60">
        <v>90</v>
      </c>
      <c r="H42" s="611"/>
      <c r="I42" s="611"/>
    </row>
    <row r="43" spans="1:12" ht="18.75" customHeight="1" x14ac:dyDescent="0.25">
      <c r="A43" s="127"/>
      <c r="B43" s="224" t="s">
        <v>546</v>
      </c>
      <c r="C43" s="336">
        <v>0</v>
      </c>
      <c r="D43" s="140" t="s">
        <v>4</v>
      </c>
      <c r="F43" s="60" t="s">
        <v>814</v>
      </c>
      <c r="G43" s="60">
        <v>70</v>
      </c>
      <c r="H43" s="611"/>
      <c r="I43" s="611"/>
    </row>
    <row r="44" spans="1:12" ht="18.75" customHeight="1" x14ac:dyDescent="0.25">
      <c r="A44" s="1602" t="s">
        <v>711</v>
      </c>
      <c r="B44" s="615" t="s">
        <v>710</v>
      </c>
      <c r="C44" s="620">
        <v>0</v>
      </c>
      <c r="D44" s="618" t="s">
        <v>491</v>
      </c>
      <c r="F44" s="60" t="s">
        <v>815</v>
      </c>
      <c r="G44" s="60">
        <v>70</v>
      </c>
      <c r="H44" s="611"/>
      <c r="I44" s="611"/>
    </row>
    <row r="45" spans="1:12" ht="18.75" customHeight="1" x14ac:dyDescent="0.25">
      <c r="A45" s="1603"/>
      <c r="B45" s="616" t="s">
        <v>713</v>
      </c>
      <c r="C45" s="612">
        <v>0</v>
      </c>
      <c r="D45" s="309" t="s">
        <v>492</v>
      </c>
      <c r="F45" s="60" t="s">
        <v>819</v>
      </c>
      <c r="G45" s="519">
        <v>70</v>
      </c>
      <c r="H45" s="611"/>
      <c r="I45" s="611"/>
    </row>
    <row r="46" spans="1:12" ht="18.75" customHeight="1" x14ac:dyDescent="0.25">
      <c r="A46" s="664" t="s">
        <v>827</v>
      </c>
      <c r="B46" s="246" t="s">
        <v>714</v>
      </c>
      <c r="C46" s="619">
        <v>0</v>
      </c>
      <c r="D46" s="309" t="s">
        <v>260</v>
      </c>
      <c r="F46" s="519" t="s">
        <v>820</v>
      </c>
      <c r="G46" s="519">
        <v>60</v>
      </c>
      <c r="H46" s="611"/>
      <c r="I46" s="611"/>
    </row>
    <row r="47" spans="1:12" ht="18.75" customHeight="1" x14ac:dyDescent="0.25">
      <c r="A47" s="1602" t="s">
        <v>712</v>
      </c>
      <c r="B47" s="615" t="s">
        <v>715</v>
      </c>
      <c r="C47" s="612">
        <v>0</v>
      </c>
      <c r="D47" s="618" t="s">
        <v>491</v>
      </c>
      <c r="F47" s="60" t="s">
        <v>48</v>
      </c>
      <c r="G47" s="519">
        <v>60</v>
      </c>
      <c r="H47" s="611"/>
      <c r="I47" s="611"/>
      <c r="J47" s="519"/>
    </row>
    <row r="48" spans="1:12" ht="18.75" customHeight="1" x14ac:dyDescent="0.25">
      <c r="A48" s="1603"/>
      <c r="B48" s="616" t="s">
        <v>716</v>
      </c>
      <c r="C48" s="612">
        <v>0</v>
      </c>
      <c r="D48" s="309" t="s">
        <v>492</v>
      </c>
      <c r="F48" s="60" t="s">
        <v>821</v>
      </c>
      <c r="G48" s="60">
        <v>45</v>
      </c>
      <c r="H48" s="611"/>
      <c r="I48" s="611"/>
      <c r="J48" s="519"/>
    </row>
    <row r="49" spans="1:10" ht="18.75" customHeight="1" x14ac:dyDescent="0.25">
      <c r="A49" s="664" t="s">
        <v>827</v>
      </c>
      <c r="B49" s="617" t="s">
        <v>717</v>
      </c>
      <c r="C49" s="612">
        <v>0</v>
      </c>
      <c r="D49" s="309" t="s">
        <v>260</v>
      </c>
      <c r="F49" s="519" t="s">
        <v>816</v>
      </c>
      <c r="G49" s="519">
        <v>30</v>
      </c>
      <c r="H49" s="611"/>
      <c r="I49" s="611"/>
      <c r="J49" s="519"/>
    </row>
    <row r="50" spans="1:10" ht="18.75" customHeight="1" x14ac:dyDescent="0.25">
      <c r="A50" s="70"/>
      <c r="B50" s="112" t="s">
        <v>261</v>
      </c>
      <c r="C50" s="308">
        <f>(C44*C45*C46/100)+(C47*C48*C49/100)</f>
        <v>0</v>
      </c>
      <c r="D50" s="310" t="s">
        <v>4</v>
      </c>
      <c r="F50" s="60" t="s">
        <v>1034</v>
      </c>
      <c r="G50" s="519">
        <v>30</v>
      </c>
      <c r="H50" s="611"/>
      <c r="I50" s="611"/>
      <c r="J50" s="519"/>
    </row>
    <row r="51" spans="1:10" ht="18.75" customHeight="1" x14ac:dyDescent="0.25">
      <c r="A51" s="306"/>
      <c r="B51" s="307" t="s">
        <v>136</v>
      </c>
      <c r="C51" s="308">
        <f>C42-C43-C50</f>
        <v>120</v>
      </c>
      <c r="D51" s="311" t="s">
        <v>4</v>
      </c>
      <c r="F51" s="60" t="s">
        <v>187</v>
      </c>
      <c r="G51" s="519">
        <v>30</v>
      </c>
      <c r="H51" s="611"/>
      <c r="I51" s="611"/>
      <c r="J51" s="519"/>
    </row>
    <row r="52" spans="1:10" ht="18.75" customHeight="1" x14ac:dyDescent="0.25">
      <c r="B52" s="9"/>
      <c r="C52" s="21"/>
      <c r="E52" s="112"/>
      <c r="F52" s="60" t="s">
        <v>823</v>
      </c>
      <c r="G52" s="519">
        <v>30</v>
      </c>
      <c r="H52" s="611"/>
      <c r="I52" s="611"/>
      <c r="J52" s="519"/>
    </row>
    <row r="53" spans="1:10" ht="18.75" customHeight="1" x14ac:dyDescent="0.25">
      <c r="A53" s="36"/>
      <c r="B53" s="31"/>
      <c r="C53" s="312" t="s">
        <v>60</v>
      </c>
      <c r="D53" s="366"/>
      <c r="E53" s="21"/>
      <c r="F53" s="60" t="s">
        <v>824</v>
      </c>
      <c r="G53" s="519">
        <v>30</v>
      </c>
      <c r="H53" s="611"/>
      <c r="I53" s="611"/>
      <c r="J53" s="519"/>
    </row>
    <row r="54" spans="1:10" ht="18.75" customHeight="1" x14ac:dyDescent="0.25">
      <c r="A54" s="26"/>
      <c r="B54" s="32" t="s">
        <v>73</v>
      </c>
      <c r="C54" s="291">
        <v>7.4</v>
      </c>
      <c r="D54" s="367" t="s">
        <v>78</v>
      </c>
      <c r="F54" s="60" t="s">
        <v>825</v>
      </c>
      <c r="G54" s="519">
        <v>30</v>
      </c>
      <c r="H54" s="15"/>
      <c r="I54" s="15"/>
      <c r="J54" s="519"/>
    </row>
    <row r="55" spans="1:10" ht="18.75" customHeight="1" x14ac:dyDescent="0.25">
      <c r="A55" s="26"/>
      <c r="B55" s="32" t="s">
        <v>74</v>
      </c>
      <c r="C55" s="206">
        <f>C7*C8/100*C54/6.25</f>
        <v>159.84</v>
      </c>
      <c r="D55" s="368" t="s">
        <v>76</v>
      </c>
      <c r="F55" s="60" t="s">
        <v>180</v>
      </c>
      <c r="G55" s="519">
        <v>25</v>
      </c>
      <c r="H55" s="13"/>
      <c r="I55" s="519"/>
      <c r="J55" s="519"/>
    </row>
    <row r="56" spans="1:10" ht="18.75" customHeight="1" x14ac:dyDescent="0.25">
      <c r="A56" s="26" t="s">
        <v>68</v>
      </c>
      <c r="B56" s="41" t="s">
        <v>144</v>
      </c>
      <c r="C56" s="187">
        <f>C38-C55</f>
        <v>-37.992999999999995</v>
      </c>
      <c r="D56" s="369" t="s">
        <v>4</v>
      </c>
      <c r="F56" s="60" t="s">
        <v>817</v>
      </c>
      <c r="G56" s="519">
        <v>25</v>
      </c>
      <c r="H56" s="13"/>
      <c r="I56" s="519"/>
      <c r="J56" s="519"/>
    </row>
    <row r="57" spans="1:10" ht="18.75" customHeight="1" x14ac:dyDescent="0.25">
      <c r="A57" s="26" t="s">
        <v>67</v>
      </c>
      <c r="B57" s="41" t="s">
        <v>144</v>
      </c>
      <c r="C57" s="187">
        <f>C19-C55</f>
        <v>-39.840000000000003</v>
      </c>
      <c r="D57" s="369" t="s">
        <v>4</v>
      </c>
      <c r="F57" s="519" t="s">
        <v>818</v>
      </c>
      <c r="G57" s="519">
        <v>25</v>
      </c>
      <c r="H57" s="106"/>
      <c r="I57" s="519"/>
      <c r="J57" s="519"/>
    </row>
    <row r="58" spans="1:10" ht="18.75" customHeight="1" x14ac:dyDescent="0.25">
      <c r="A58" s="184" t="s">
        <v>739</v>
      </c>
      <c r="B58" s="85"/>
      <c r="C58" s="188"/>
      <c r="D58" s="258"/>
      <c r="F58" s="519" t="s">
        <v>826</v>
      </c>
      <c r="G58" s="519">
        <v>10</v>
      </c>
      <c r="H58" s="106"/>
      <c r="I58" s="519"/>
      <c r="J58" s="519"/>
    </row>
    <row r="59" spans="1:10" ht="18.75" customHeight="1" x14ac:dyDescent="0.25">
      <c r="A59" s="81"/>
      <c r="B59" s="41"/>
      <c r="C59" s="42"/>
      <c r="D59" s="15"/>
      <c r="F59" s="519" t="s">
        <v>181</v>
      </c>
      <c r="G59" s="519">
        <v>10</v>
      </c>
      <c r="H59" s="106"/>
      <c r="I59" s="519"/>
      <c r="J59" s="519"/>
    </row>
    <row r="60" spans="1:10" ht="21.75" customHeight="1" x14ac:dyDescent="0.25">
      <c r="F60" s="519" t="s">
        <v>188</v>
      </c>
      <c r="G60" s="519">
        <v>5</v>
      </c>
    </row>
    <row r="61" spans="1:10" ht="22.5" customHeight="1" x14ac:dyDescent="0.25">
      <c r="A61" s="91" t="s">
        <v>167</v>
      </c>
      <c r="B61" s="89"/>
      <c r="C61" s="313"/>
      <c r="D61" s="15"/>
      <c r="F61" s="519" t="s">
        <v>182</v>
      </c>
      <c r="G61" s="519">
        <v>3</v>
      </c>
    </row>
    <row r="62" spans="1:10" ht="64.5" customHeight="1" x14ac:dyDescent="0.25">
      <c r="A62" s="18" t="s">
        <v>400</v>
      </c>
      <c r="B62" s="1596" t="s">
        <v>527</v>
      </c>
      <c r="C62" s="1267"/>
      <c r="D62" s="1267"/>
    </row>
    <row r="63" spans="1:10" ht="81" customHeight="1" x14ac:dyDescent="0.25">
      <c r="A63" s="18" t="s">
        <v>405</v>
      </c>
      <c r="B63" s="1596" t="s">
        <v>500</v>
      </c>
      <c r="C63" s="1267"/>
      <c r="D63" s="1267"/>
      <c r="G63" s="80"/>
    </row>
    <row r="64" spans="1:10" x14ac:dyDescent="0.25">
      <c r="A64" s="661" t="s">
        <v>403</v>
      </c>
      <c r="B64" s="1596" t="s">
        <v>443</v>
      </c>
      <c r="C64" s="1463"/>
      <c r="D64" s="1463"/>
      <c r="G64" s="80"/>
    </row>
    <row r="65" spans="1:8" ht="14.25" customHeight="1" x14ac:dyDescent="0.25">
      <c r="A65" s="91"/>
      <c r="B65" s="93"/>
      <c r="C65" s="94"/>
      <c r="D65" s="95"/>
      <c r="F65" s="15"/>
      <c r="G65" s="80"/>
    </row>
    <row r="66" spans="1:8" ht="27" customHeight="1" x14ac:dyDescent="0.25">
      <c r="A66" s="661" t="s">
        <v>172</v>
      </c>
      <c r="B66" s="88" t="s">
        <v>522</v>
      </c>
      <c r="C66" s="94"/>
      <c r="D66" s="95"/>
      <c r="E66" s="3" t="s">
        <v>445</v>
      </c>
      <c r="F66" s="80"/>
      <c r="G66" s="3"/>
      <c r="H66"/>
    </row>
    <row r="67" spans="1:8" ht="23.25" customHeight="1" x14ac:dyDescent="0.25">
      <c r="A67" s="661"/>
      <c r="B67" s="283" t="s">
        <v>528</v>
      </c>
      <c r="D67" s="97" t="s">
        <v>523</v>
      </c>
      <c r="E67" s="3" t="s">
        <v>526</v>
      </c>
      <c r="F67" s="3" t="s">
        <v>11</v>
      </c>
      <c r="G67" s="3"/>
      <c r="H67"/>
    </row>
    <row r="68" spans="1:8" ht="21" customHeight="1" x14ac:dyDescent="0.25">
      <c r="A68" s="661"/>
      <c r="B68" s="97" t="s">
        <v>524</v>
      </c>
      <c r="C68" s="94"/>
      <c r="D68" s="95"/>
      <c r="F68" s="3">
        <v>8.4</v>
      </c>
      <c r="G68" s="3"/>
      <c r="H68"/>
    </row>
    <row r="69" spans="1:8" x14ac:dyDescent="0.25">
      <c r="A69" s="96"/>
      <c r="B69" s="94"/>
      <c r="D69" s="95"/>
      <c r="F69" s="3">
        <v>8.15</v>
      </c>
      <c r="G69" s="3"/>
      <c r="H69"/>
    </row>
    <row r="70" spans="1:8" x14ac:dyDescent="0.25">
      <c r="B70" s="3"/>
      <c r="C70" s="3" t="s">
        <v>57</v>
      </c>
      <c r="D70" s="3" t="s">
        <v>445</v>
      </c>
      <c r="E70" s="3">
        <v>194</v>
      </c>
      <c r="F70" s="3">
        <v>7.9</v>
      </c>
      <c r="G70" s="3"/>
      <c r="H70"/>
    </row>
    <row r="71" spans="1:8" x14ac:dyDescent="0.25">
      <c r="B71" s="3" t="s">
        <v>85</v>
      </c>
      <c r="C71" t="s">
        <v>521</v>
      </c>
      <c r="D71" s="3" t="s">
        <v>525</v>
      </c>
      <c r="F71" s="3">
        <v>7.65</v>
      </c>
      <c r="G71" s="3"/>
      <c r="H71"/>
    </row>
    <row r="72" spans="1:8" x14ac:dyDescent="0.25">
      <c r="A72" s="41"/>
      <c r="B72" s="3">
        <v>80</v>
      </c>
      <c r="C72" s="180">
        <f>B72*F68/6.25*1.2+5</f>
        <v>134.024</v>
      </c>
      <c r="D72" s="3"/>
      <c r="E72" s="3">
        <v>224</v>
      </c>
      <c r="F72" s="3">
        <v>7.4</v>
      </c>
      <c r="G72" s="3"/>
      <c r="H72"/>
    </row>
    <row r="73" spans="1:8" x14ac:dyDescent="0.25">
      <c r="A73" s="41"/>
      <c r="B73" s="3">
        <v>100</v>
      </c>
      <c r="C73" s="180">
        <f>B73*F69/6.25*1.175+5</f>
        <v>158.22</v>
      </c>
      <c r="D73" s="3"/>
      <c r="F73" s="3">
        <v>7.15</v>
      </c>
      <c r="G73" s="3"/>
      <c r="H73"/>
    </row>
    <row r="74" spans="1:8" x14ac:dyDescent="0.25">
      <c r="A74" s="41"/>
      <c r="B74" s="3">
        <v>120</v>
      </c>
      <c r="C74" s="180">
        <f>B74*F70/6.25*1.15+5</f>
        <v>179.43199999999999</v>
      </c>
      <c r="D74" s="3">
        <v>177</v>
      </c>
      <c r="E74" s="3">
        <v>253</v>
      </c>
      <c r="F74" s="3">
        <v>6.9</v>
      </c>
      <c r="G74" s="3"/>
      <c r="H74"/>
    </row>
    <row r="75" spans="1:8" x14ac:dyDescent="0.25">
      <c r="A75" s="41"/>
      <c r="B75" s="3">
        <v>140</v>
      </c>
      <c r="C75" s="180">
        <f>B75*F71/6.25*1.125+5</f>
        <v>197.78000000000003</v>
      </c>
      <c r="D75" s="3"/>
      <c r="F75" s="3">
        <v>6.65</v>
      </c>
      <c r="G75" s="3"/>
      <c r="H75"/>
    </row>
    <row r="76" spans="1:8" x14ac:dyDescent="0.25">
      <c r="A76" s="41"/>
      <c r="B76" s="8">
        <v>160</v>
      </c>
      <c r="C76" s="180">
        <f>B76*F72/6.25*1.1+5</f>
        <v>213.38400000000001</v>
      </c>
      <c r="D76" s="3">
        <v>210</v>
      </c>
      <c r="F76" s="3">
        <v>6.4</v>
      </c>
      <c r="G76" s="3"/>
      <c r="H76"/>
    </row>
    <row r="77" spans="1:8" x14ac:dyDescent="0.25">
      <c r="A77" s="41"/>
      <c r="B77" s="3">
        <v>180</v>
      </c>
      <c r="C77" s="180">
        <f>B77*F73/6.25*1.075+5</f>
        <v>226.36399999999998</v>
      </c>
      <c r="D77" s="3"/>
      <c r="E77"/>
      <c r="G77" s="3"/>
      <c r="H77"/>
    </row>
    <row r="78" spans="1:8" x14ac:dyDescent="0.25">
      <c r="A78" s="41"/>
      <c r="B78" s="3">
        <v>200</v>
      </c>
      <c r="C78" s="180">
        <f>B78*F74/6.25*1.05+5</f>
        <v>236.84000000000003</v>
      </c>
      <c r="D78" s="3">
        <v>235</v>
      </c>
      <c r="E78"/>
      <c r="G78" s="3"/>
      <c r="H78"/>
    </row>
    <row r="79" spans="1:8" x14ac:dyDescent="0.25">
      <c r="A79" s="41"/>
      <c r="B79" s="3">
        <v>220</v>
      </c>
      <c r="C79" s="180">
        <f>B79*F75/6.25*1.025+5</f>
        <v>244.93199999999999</v>
      </c>
      <c r="D79" s="3"/>
      <c r="E79"/>
      <c r="G79" s="3"/>
      <c r="H79"/>
    </row>
    <row r="80" spans="1:8" x14ac:dyDescent="0.25">
      <c r="A80" s="41"/>
      <c r="B80" s="3">
        <v>240</v>
      </c>
      <c r="C80" s="180">
        <f>B80*F76/6.25*1+5</f>
        <v>250.76</v>
      </c>
      <c r="D80" s="3"/>
      <c r="E80"/>
      <c r="G80" s="3"/>
      <c r="H80"/>
    </row>
    <row r="81" spans="2:8" x14ac:dyDescent="0.25">
      <c r="B81" s="3"/>
      <c r="D81" s="3"/>
      <c r="E81"/>
      <c r="G81" s="3"/>
      <c r="H81"/>
    </row>
    <row r="82" spans="2:8" x14ac:dyDescent="0.25">
      <c r="B82" s="3"/>
      <c r="E82"/>
      <c r="G82" s="3"/>
      <c r="H82"/>
    </row>
    <row r="83" spans="2:8" x14ac:dyDescent="0.25">
      <c r="B83" s="3"/>
      <c r="E83"/>
      <c r="G83" s="3"/>
      <c r="H83"/>
    </row>
    <row r="84" spans="2:8" x14ac:dyDescent="0.25">
      <c r="B84" s="3"/>
      <c r="G84" s="3"/>
      <c r="H84"/>
    </row>
    <row r="85" spans="2:8" x14ac:dyDescent="0.25">
      <c r="B85" s="3"/>
      <c r="E85"/>
      <c r="G85" s="3"/>
      <c r="H85"/>
    </row>
    <row r="86" spans="2:8" x14ac:dyDescent="0.25">
      <c r="B86" s="3"/>
      <c r="G86" s="3"/>
      <c r="H86"/>
    </row>
    <row r="87" spans="2:8" x14ac:dyDescent="0.25">
      <c r="B87" s="3"/>
      <c r="C87" s="8"/>
      <c r="G87" s="3"/>
      <c r="H87"/>
    </row>
    <row r="88" spans="2:8" x14ac:dyDescent="0.25">
      <c r="B88" s="3"/>
      <c r="D88" s="3"/>
      <c r="G88" s="3"/>
      <c r="H88"/>
    </row>
    <row r="89" spans="2:8" x14ac:dyDescent="0.25">
      <c r="B89" s="3"/>
      <c r="D89" s="3"/>
      <c r="G89" s="3"/>
      <c r="H89"/>
    </row>
    <row r="90" spans="2:8" x14ac:dyDescent="0.25">
      <c r="B90" s="3"/>
      <c r="D90" s="3"/>
      <c r="G90" s="3"/>
      <c r="H90"/>
    </row>
    <row r="91" spans="2:8" x14ac:dyDescent="0.25">
      <c r="B91" s="3"/>
      <c r="D91" s="3"/>
      <c r="G91" s="3"/>
      <c r="H91"/>
    </row>
    <row r="92" spans="2:8" x14ac:dyDescent="0.25">
      <c r="B92" s="3"/>
      <c r="D92" s="3"/>
      <c r="G92" s="3"/>
      <c r="H92"/>
    </row>
    <row r="93" spans="2:8" x14ac:dyDescent="0.25">
      <c r="B93" s="3"/>
      <c r="D93" s="3"/>
      <c r="G93" s="3"/>
      <c r="H93"/>
    </row>
    <row r="94" spans="2:8" x14ac:dyDescent="0.25">
      <c r="B94" s="3"/>
      <c r="D94" s="3"/>
      <c r="G94" s="3"/>
      <c r="H94"/>
    </row>
    <row r="95" spans="2:8" x14ac:dyDescent="0.25">
      <c r="B95" s="3"/>
      <c r="D95" s="3"/>
      <c r="E95"/>
      <c r="G95" s="3"/>
      <c r="H95"/>
    </row>
    <row r="96" spans="2:8" x14ac:dyDescent="0.25">
      <c r="B96" s="3"/>
      <c r="D96" s="3"/>
      <c r="E96"/>
      <c r="G96" s="3"/>
      <c r="H96"/>
    </row>
    <row r="97" spans="2:8" x14ac:dyDescent="0.25">
      <c r="B97" s="3"/>
      <c r="D97" s="3"/>
      <c r="E97"/>
      <c r="G97" s="3"/>
      <c r="H97"/>
    </row>
    <row r="98" spans="2:8" x14ac:dyDescent="0.25">
      <c r="B98" s="3"/>
      <c r="D98" s="3"/>
    </row>
    <row r="99" spans="2:8" x14ac:dyDescent="0.25">
      <c r="B99" s="3"/>
      <c r="D99" s="3"/>
    </row>
    <row r="100" spans="2:8" x14ac:dyDescent="0.25">
      <c r="B100" s="3"/>
    </row>
    <row r="101" spans="2:8" x14ac:dyDescent="0.25">
      <c r="B101" s="29" t="s">
        <v>447</v>
      </c>
    </row>
    <row r="102" spans="2:8" x14ac:dyDescent="0.25">
      <c r="B102" s="29" t="s">
        <v>448</v>
      </c>
    </row>
    <row r="103" spans="2:8" x14ac:dyDescent="0.25">
      <c r="B103" s="29" t="s">
        <v>449</v>
      </c>
    </row>
    <row r="104" spans="2:8" x14ac:dyDescent="0.25">
      <c r="B104" s="29" t="s">
        <v>450</v>
      </c>
    </row>
  </sheetData>
  <sheetProtection sheet="1" formatCells="0" formatColumns="0" formatRows="0" selectLockedCells="1"/>
  <mergeCells count="35">
    <mergeCell ref="B64:D64"/>
    <mergeCell ref="A47:A48"/>
    <mergeCell ref="B62:D62"/>
    <mergeCell ref="B63:D63"/>
    <mergeCell ref="A27:A28"/>
    <mergeCell ref="B27:B28"/>
    <mergeCell ref="C27:E28"/>
    <mergeCell ref="A30:B30"/>
    <mergeCell ref="E38:E39"/>
    <mergeCell ref="A44:A45"/>
    <mergeCell ref="A22:A26"/>
    <mergeCell ref="D22:E22"/>
    <mergeCell ref="D23:E23"/>
    <mergeCell ref="D24:E24"/>
    <mergeCell ref="D25:E25"/>
    <mergeCell ref="D26:E26"/>
    <mergeCell ref="D16:E16"/>
    <mergeCell ref="D17:E17"/>
    <mergeCell ref="D18:E18"/>
    <mergeCell ref="D19:E19"/>
    <mergeCell ref="A21:B21"/>
    <mergeCell ref="D21:E21"/>
    <mergeCell ref="D15:E15"/>
    <mergeCell ref="A5:E5"/>
    <mergeCell ref="A6:B6"/>
    <mergeCell ref="D6:E6"/>
    <mergeCell ref="D7:E7"/>
    <mergeCell ref="D8:E8"/>
    <mergeCell ref="A9:B9"/>
    <mergeCell ref="D9:E9"/>
    <mergeCell ref="D10:E10"/>
    <mergeCell ref="D11:E11"/>
    <mergeCell ref="D12:E12"/>
    <mergeCell ref="D13:E13"/>
    <mergeCell ref="D14:E14"/>
  </mergeCells>
  <dataValidations count="5">
    <dataValidation type="list" allowBlank="1" sqref="B15" xr:uid="{00000000-0002-0000-1C00-000000000000}">
      <formula1>$G$22:$G$32</formula1>
    </dataValidation>
    <dataValidation type="list" allowBlank="1" showInputMessage="1" showErrorMessage="1" sqref="B33" xr:uid="{00000000-0002-0000-1C00-000001000000}">
      <formula1>J22:J28</formula1>
    </dataValidation>
    <dataValidation type="list" allowBlank="1" sqref="B18" xr:uid="{00000000-0002-0000-1C00-000002000000}">
      <formula1>"bis 4 %, größer 4 %"</formula1>
    </dataValidation>
    <dataValidation type="list" allowBlank="1" sqref="J7:J8" xr:uid="{00000000-0002-0000-1C00-000003000000}">
      <formula1>"Humusgehalt"</formula1>
    </dataValidation>
    <dataValidation type="list" allowBlank="1" sqref="B16" xr:uid="{00000000-0002-0000-1C00-000004000000}">
      <formula1>Vorfrucht</formula1>
    </dataValidation>
  </dataValidations>
  <pageMargins left="0.7" right="0.7" top="0.78740157499999996" bottom="0.78740157499999996" header="0.3" footer="0.3"/>
  <pageSetup paperSize="9" scale="60" orientation="portrait" horizontalDpi="4294967293" verticalDpi="4294967293" r:id="rId1"/>
  <colBreaks count="1" manualBreakCount="1">
    <brk id="6" max="47" man="1"/>
  </col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Tabelle37">
    <tabColor theme="0"/>
    <pageSetUpPr fitToPage="1"/>
  </sheetPr>
  <dimension ref="A1:K88"/>
  <sheetViews>
    <sheetView zoomScaleNormal="100" workbookViewId="0">
      <selection activeCell="C7" sqref="C7"/>
    </sheetView>
  </sheetViews>
  <sheetFormatPr baseColWidth="10" defaultRowHeight="15" x14ac:dyDescent="0.25"/>
  <cols>
    <col min="1" max="1" width="40.28515625" style="32" customWidth="1"/>
    <col min="2" max="2" width="40.140625" style="8" customWidth="1"/>
    <col min="3" max="3" width="24" style="3" customWidth="1"/>
    <col min="4" max="4" width="28.85546875" customWidth="1"/>
    <col min="5" max="5" width="19.140625" style="3" customWidth="1"/>
    <col min="6" max="6" width="45.5703125" customWidth="1"/>
    <col min="7" max="7" width="44" customWidth="1"/>
    <col min="8" max="8" width="24.5703125" style="3" customWidth="1"/>
    <col min="9" max="9" width="24.85546875" customWidth="1"/>
  </cols>
  <sheetData>
    <row r="1" spans="1:11" x14ac:dyDescent="0.25">
      <c r="B1" s="112" t="str">
        <f>'DüV-N-Ackerbau (1)'!C1</f>
        <v>Testbetrieb</v>
      </c>
      <c r="C1" s="112" t="str">
        <f>'DüV-N-Ackerbau (1)'!F1</f>
        <v>Erntejahr</v>
      </c>
      <c r="E1" s="6" t="s">
        <v>36</v>
      </c>
    </row>
    <row r="2" spans="1:11" x14ac:dyDescent="0.25">
      <c r="B2" s="112">
        <f>'DüV-N-Ackerbau (1)'!C2</f>
        <v>1</v>
      </c>
      <c r="C2" s="112">
        <f>'DüV-N-Ackerbau (1)'!G1</f>
        <v>2022</v>
      </c>
      <c r="E2" s="7" t="s">
        <v>34</v>
      </c>
    </row>
    <row r="3" spans="1:11" x14ac:dyDescent="0.25">
      <c r="B3" s="112">
        <f>'DüV-N-Ackerbau (1)'!C3</f>
        <v>123456</v>
      </c>
      <c r="C3" s="41"/>
    </row>
    <row r="4" spans="1:11" ht="9" customHeight="1" thickBot="1" x14ac:dyDescent="0.3"/>
    <row r="5" spans="1:11" ht="21.75" thickBot="1" x14ac:dyDescent="0.3">
      <c r="A5" s="1604" t="s">
        <v>137</v>
      </c>
      <c r="B5" s="1605"/>
      <c r="C5" s="1605"/>
      <c r="D5" s="1606"/>
    </row>
    <row r="6" spans="1:11" ht="48" thickBot="1" x14ac:dyDescent="0.3">
      <c r="A6" s="1607" t="s">
        <v>580</v>
      </c>
      <c r="B6" s="1608"/>
      <c r="C6" s="280" t="s">
        <v>579</v>
      </c>
      <c r="D6" s="346" t="s">
        <v>533</v>
      </c>
      <c r="E6" s="8"/>
      <c r="G6" s="352"/>
      <c r="H6" s="351" t="s">
        <v>5</v>
      </c>
      <c r="I6" s="352"/>
      <c r="J6" s="352"/>
      <c r="K6" s="352"/>
    </row>
    <row r="7" spans="1:11" ht="15.75" x14ac:dyDescent="0.25">
      <c r="A7" s="63"/>
      <c r="B7" s="32" t="s">
        <v>75</v>
      </c>
      <c r="C7" s="287">
        <v>450</v>
      </c>
      <c r="D7" s="288"/>
      <c r="G7" s="351" t="s">
        <v>6</v>
      </c>
      <c r="H7" s="352"/>
      <c r="I7" s="352" t="s">
        <v>159</v>
      </c>
      <c r="J7" s="352"/>
      <c r="K7" s="352"/>
    </row>
    <row r="8" spans="1:11" ht="15.75" x14ac:dyDescent="0.25">
      <c r="A8" s="63"/>
      <c r="B8" s="32"/>
      <c r="C8" s="48"/>
      <c r="D8" s="288"/>
      <c r="G8" s="352" t="s">
        <v>510</v>
      </c>
      <c r="H8" s="352">
        <v>0</v>
      </c>
      <c r="I8" s="352" t="s">
        <v>160</v>
      </c>
      <c r="J8" s="352">
        <v>0</v>
      </c>
      <c r="K8" s="352"/>
    </row>
    <row r="9" spans="1:11" ht="15.75" x14ac:dyDescent="0.25">
      <c r="A9" s="63"/>
      <c r="B9" s="32"/>
      <c r="C9" s="48" t="s">
        <v>4</v>
      </c>
      <c r="D9" s="288"/>
      <c r="G9" s="352" t="s">
        <v>22</v>
      </c>
      <c r="H9" s="352">
        <v>10</v>
      </c>
      <c r="I9" s="352" t="s">
        <v>161</v>
      </c>
      <c r="J9" s="352">
        <v>20</v>
      </c>
      <c r="K9" s="352"/>
    </row>
    <row r="10" spans="1:11" ht="15.75" x14ac:dyDescent="0.25">
      <c r="A10" s="63"/>
      <c r="B10" s="32" t="s">
        <v>37</v>
      </c>
      <c r="C10" s="49">
        <f>90+C7*0.2</f>
        <v>180</v>
      </c>
      <c r="D10" s="289"/>
      <c r="G10" s="352" t="s">
        <v>535</v>
      </c>
      <c r="H10" s="352">
        <v>10</v>
      </c>
      <c r="I10" s="352"/>
      <c r="J10" s="352"/>
      <c r="K10" s="352"/>
    </row>
    <row r="11" spans="1:11" ht="18" x14ac:dyDescent="0.35">
      <c r="A11" s="63"/>
      <c r="B11" s="32" t="s">
        <v>38</v>
      </c>
      <c r="C11" s="360">
        <v>20</v>
      </c>
      <c r="D11" s="289"/>
      <c r="G11" s="352" t="s">
        <v>7</v>
      </c>
      <c r="H11" s="352">
        <v>10</v>
      </c>
      <c r="I11" s="352"/>
      <c r="J11" s="352"/>
      <c r="K11" s="352"/>
    </row>
    <row r="12" spans="1:11" ht="18" x14ac:dyDescent="0.35">
      <c r="A12" s="63"/>
      <c r="B12" s="32" t="s">
        <v>39</v>
      </c>
      <c r="C12" s="360">
        <v>20</v>
      </c>
      <c r="D12" s="289"/>
      <c r="G12" s="352" t="s">
        <v>17</v>
      </c>
      <c r="H12" s="352">
        <v>20</v>
      </c>
      <c r="I12" s="352"/>
      <c r="J12" s="352"/>
      <c r="K12" s="352"/>
    </row>
    <row r="13" spans="1:11" x14ac:dyDescent="0.25">
      <c r="A13" s="63" t="s">
        <v>8</v>
      </c>
      <c r="B13" s="290" t="s">
        <v>31</v>
      </c>
      <c r="C13" s="47">
        <f>VLOOKUP(B13,G21:H31,2,FALSE)</f>
        <v>0</v>
      </c>
      <c r="D13" s="289"/>
      <c r="G13" s="352" t="s">
        <v>23</v>
      </c>
      <c r="H13" s="352">
        <v>0</v>
      </c>
      <c r="I13" s="352"/>
      <c r="J13" s="352"/>
      <c r="K13" s="352"/>
    </row>
    <row r="14" spans="1:11" x14ac:dyDescent="0.25">
      <c r="A14" s="63" t="s">
        <v>6</v>
      </c>
      <c r="B14" s="290" t="s">
        <v>510</v>
      </c>
      <c r="C14" s="47">
        <f>VLOOKUP(B14,G8:H18,2,FALSE)</f>
        <v>0</v>
      </c>
      <c r="D14" s="289"/>
      <c r="G14" s="352" t="s">
        <v>20</v>
      </c>
      <c r="H14" s="352">
        <v>20</v>
      </c>
      <c r="I14" s="352"/>
      <c r="J14" s="352"/>
      <c r="K14" s="352"/>
    </row>
    <row r="15" spans="1:11" ht="15.75" x14ac:dyDescent="0.25">
      <c r="A15" s="59" t="s">
        <v>1073</v>
      </c>
      <c r="B15" s="8" t="s">
        <v>24</v>
      </c>
      <c r="C15" s="291">
        <v>0</v>
      </c>
      <c r="D15" s="289"/>
      <c r="E15" s="358" t="str">
        <f>IF(C15&gt;25,"Sind Sie sicher?"," ")</f>
        <v xml:space="preserve"> </v>
      </c>
      <c r="G15" s="352" t="s">
        <v>19</v>
      </c>
      <c r="H15" s="352">
        <v>10</v>
      </c>
      <c r="I15" s="352"/>
      <c r="J15" s="352"/>
      <c r="K15" s="352"/>
    </row>
    <row r="16" spans="1:11" ht="15.75" thickBot="1" x14ac:dyDescent="0.3">
      <c r="A16" s="59" t="s">
        <v>159</v>
      </c>
      <c r="B16" s="292" t="s">
        <v>160</v>
      </c>
      <c r="C16" s="65">
        <f>VLOOKUP(B16,I8:J9,2,FALSE)</f>
        <v>0</v>
      </c>
      <c r="D16" s="293"/>
      <c r="G16" s="352" t="s">
        <v>536</v>
      </c>
      <c r="H16" s="352">
        <v>0</v>
      </c>
      <c r="I16" s="352"/>
      <c r="J16" s="352"/>
      <c r="K16" s="352"/>
    </row>
    <row r="17" spans="1:11" ht="16.5" thickBot="1" x14ac:dyDescent="0.3">
      <c r="A17" s="251"/>
      <c r="B17" s="243" t="s">
        <v>475</v>
      </c>
      <c r="C17" s="239">
        <f>C10-SUM(C11:C16)</f>
        <v>140</v>
      </c>
      <c r="D17" s="244" t="s">
        <v>477</v>
      </c>
      <c r="G17" s="352" t="s">
        <v>21</v>
      </c>
      <c r="H17" s="352">
        <v>10</v>
      </c>
      <c r="I17" s="352"/>
      <c r="J17" s="352"/>
      <c r="K17" s="352"/>
    </row>
    <row r="18" spans="1:11" ht="11.25" customHeight="1" thickBot="1" x14ac:dyDescent="0.3">
      <c r="B18" s="141"/>
      <c r="C18" s="10"/>
      <c r="D18" s="252"/>
      <c r="E18" s="54"/>
      <c r="G18" s="352" t="s">
        <v>18</v>
      </c>
      <c r="H18" s="352">
        <v>20</v>
      </c>
      <c r="I18" s="352"/>
      <c r="J18" s="352"/>
      <c r="K18" s="352"/>
    </row>
    <row r="19" spans="1:11" ht="17.25" customHeight="1" x14ac:dyDescent="0.25">
      <c r="A19" s="1607" t="s">
        <v>584</v>
      </c>
      <c r="B19" s="1609"/>
      <c r="C19" s="660" t="s">
        <v>593</v>
      </c>
      <c r="D19" s="458" t="s">
        <v>598</v>
      </c>
      <c r="E19" s="54"/>
      <c r="G19" s="352"/>
      <c r="H19" s="352"/>
      <c r="I19" s="352"/>
      <c r="J19" s="352"/>
      <c r="K19" s="352"/>
    </row>
    <row r="20" spans="1:11" ht="21" customHeight="1" x14ac:dyDescent="0.25">
      <c r="A20" s="1610" t="s">
        <v>596</v>
      </c>
      <c r="B20" s="466" t="s">
        <v>585</v>
      </c>
      <c r="C20" s="462" t="s">
        <v>599</v>
      </c>
      <c r="D20" s="471" t="s">
        <v>600</v>
      </c>
      <c r="E20" s="54"/>
      <c r="G20" s="351" t="s">
        <v>8</v>
      </c>
      <c r="H20" s="352"/>
      <c r="I20" s="351" t="s">
        <v>135</v>
      </c>
      <c r="J20" s="352"/>
      <c r="K20" s="352"/>
    </row>
    <row r="21" spans="1:11" ht="19.5" customHeight="1" x14ac:dyDescent="0.25">
      <c r="A21" s="1611"/>
      <c r="B21" s="442" t="s">
        <v>589</v>
      </c>
      <c r="C21" s="226">
        <f>C23*2</f>
        <v>126.00000000000001</v>
      </c>
      <c r="D21" s="456">
        <f>D23*2</f>
        <v>135</v>
      </c>
      <c r="E21" s="54"/>
      <c r="G21" s="352" t="s">
        <v>31</v>
      </c>
      <c r="H21" s="352">
        <v>0</v>
      </c>
      <c r="I21" s="971" t="s">
        <v>1225</v>
      </c>
      <c r="J21" s="971">
        <v>1</v>
      </c>
      <c r="K21" s="352"/>
    </row>
    <row r="22" spans="1:11" ht="19.5" customHeight="1" x14ac:dyDescent="0.25">
      <c r="A22" s="1611"/>
      <c r="B22" s="442" t="s">
        <v>590</v>
      </c>
      <c r="C22" s="226">
        <f>C23*1.5</f>
        <v>94.500000000000014</v>
      </c>
      <c r="D22" s="456">
        <f>D23*1.5</f>
        <v>101.25</v>
      </c>
      <c r="E22" s="54"/>
      <c r="G22" s="352" t="s">
        <v>25</v>
      </c>
      <c r="H22" s="352">
        <v>0</v>
      </c>
      <c r="I22" s="971" t="s">
        <v>184</v>
      </c>
      <c r="J22" s="971">
        <v>0.5</v>
      </c>
      <c r="K22" s="352"/>
    </row>
    <row r="23" spans="1:11" ht="19.5" customHeight="1" x14ac:dyDescent="0.25">
      <c r="A23" s="1611"/>
      <c r="B23" s="442" t="s">
        <v>591</v>
      </c>
      <c r="C23" s="446">
        <f>C7*0.14</f>
        <v>63.000000000000007</v>
      </c>
      <c r="D23" s="457">
        <f>C7*0.15</f>
        <v>67.5</v>
      </c>
      <c r="E23" s="54"/>
      <c r="G23" s="352" t="s">
        <v>26</v>
      </c>
      <c r="H23" s="352">
        <v>0</v>
      </c>
      <c r="I23" s="971" t="s">
        <v>1227</v>
      </c>
      <c r="J23" s="971">
        <v>0.6</v>
      </c>
      <c r="K23" s="352"/>
    </row>
    <row r="24" spans="1:11" ht="19.5" customHeight="1" x14ac:dyDescent="0.25">
      <c r="A24" s="1421"/>
      <c r="B24" s="463" t="s">
        <v>592</v>
      </c>
      <c r="C24" s="226">
        <f>C23*0.5</f>
        <v>31.500000000000004</v>
      </c>
      <c r="D24" s="456">
        <f>D23*0.5</f>
        <v>33.75</v>
      </c>
      <c r="E24" s="54"/>
      <c r="G24" s="352" t="s">
        <v>27</v>
      </c>
      <c r="H24" s="352">
        <v>20</v>
      </c>
      <c r="I24" s="971" t="s">
        <v>1228</v>
      </c>
      <c r="J24" s="971">
        <v>0.4</v>
      </c>
      <c r="K24" s="352"/>
    </row>
    <row r="25" spans="1:11" ht="21.75" customHeight="1" x14ac:dyDescent="0.25">
      <c r="A25" s="1624"/>
      <c r="B25" s="1625" t="s">
        <v>594</v>
      </c>
      <c r="C25" s="1616" t="s">
        <v>597</v>
      </c>
      <c r="D25" s="1617"/>
      <c r="E25" s="54"/>
      <c r="G25" s="352" t="s">
        <v>28</v>
      </c>
      <c r="H25" s="352">
        <v>10</v>
      </c>
      <c r="I25" s="971" t="s">
        <v>1226</v>
      </c>
      <c r="J25" s="971">
        <v>0.35</v>
      </c>
      <c r="K25" s="352"/>
    </row>
    <row r="26" spans="1:11" ht="26.25" customHeight="1" thickBot="1" x14ac:dyDescent="0.3">
      <c r="A26" s="1621"/>
      <c r="B26" s="1623"/>
      <c r="C26" s="1618"/>
      <c r="D26" s="1619"/>
      <c r="E26" s="54"/>
      <c r="G26" s="352" t="s">
        <v>29</v>
      </c>
      <c r="H26" s="352">
        <v>10</v>
      </c>
      <c r="I26" s="971" t="s">
        <v>48</v>
      </c>
      <c r="J26" s="971">
        <v>0.3</v>
      </c>
      <c r="K26" s="352"/>
    </row>
    <row r="27" spans="1:11" ht="10.5" customHeight="1" thickBot="1" x14ac:dyDescent="0.3">
      <c r="E27" s="54"/>
      <c r="G27" s="352" t="s">
        <v>681</v>
      </c>
      <c r="H27" s="352">
        <v>30</v>
      </c>
      <c r="I27" s="971" t="s">
        <v>31</v>
      </c>
      <c r="J27" s="971">
        <v>0</v>
      </c>
      <c r="K27" s="352"/>
    </row>
    <row r="28" spans="1:11" ht="33.75" customHeight="1" thickBot="1" x14ac:dyDescent="0.3">
      <c r="A28" s="1630" t="s">
        <v>498</v>
      </c>
      <c r="B28" s="1631"/>
      <c r="C28" s="233" t="s">
        <v>392</v>
      </c>
      <c r="D28" s="207" t="s">
        <v>342</v>
      </c>
      <c r="G28" s="352" t="s">
        <v>30</v>
      </c>
      <c r="H28" s="352">
        <v>40</v>
      </c>
      <c r="I28" s="352"/>
      <c r="J28" s="352"/>
      <c r="K28" s="352"/>
    </row>
    <row r="29" spans="1:11" ht="15.75" customHeight="1" x14ac:dyDescent="0.25">
      <c r="A29" s="26" t="s">
        <v>35</v>
      </c>
      <c r="B29" s="294">
        <v>60</v>
      </c>
      <c r="C29" s="201">
        <f>IF(OR(B29&lt;1,B29&gt;100),"Zahl 0 bis 100 eingeben",(-0.0025*B29*B29+0.75*B29-26)*0.4)</f>
        <v>4</v>
      </c>
      <c r="D29" s="71" t="s">
        <v>163</v>
      </c>
      <c r="G29" s="352" t="s">
        <v>9</v>
      </c>
      <c r="H29" s="352">
        <v>0</v>
      </c>
      <c r="I29" s="352"/>
      <c r="J29" s="352"/>
      <c r="K29" s="352"/>
    </row>
    <row r="30" spans="1:11" x14ac:dyDescent="0.25">
      <c r="A30" s="70" t="s">
        <v>162</v>
      </c>
      <c r="B30" s="295">
        <v>200</v>
      </c>
      <c r="C30" s="50">
        <f>IF(OR(B30&lt;40,B30&gt;800),"gibt es nicht",(B30*0.025-1))</f>
        <v>4</v>
      </c>
      <c r="D30" s="71" t="s">
        <v>164</v>
      </c>
      <c r="G30" s="352" t="s">
        <v>10</v>
      </c>
      <c r="H30" s="352">
        <v>10</v>
      </c>
      <c r="K30" s="352"/>
    </row>
    <row r="31" spans="1:11" x14ac:dyDescent="0.25">
      <c r="A31" s="26" t="s">
        <v>51</v>
      </c>
      <c r="B31" s="290" t="s">
        <v>31</v>
      </c>
      <c r="C31" s="103">
        <f>VLOOKUP(B31,I21:J27,2,FALSE)</f>
        <v>0</v>
      </c>
      <c r="D31" s="195" t="s">
        <v>50</v>
      </c>
      <c r="G31" s="352" t="s">
        <v>31</v>
      </c>
      <c r="H31" s="352">
        <v>0</v>
      </c>
      <c r="K31" s="352"/>
    </row>
    <row r="32" spans="1:11" x14ac:dyDescent="0.25">
      <c r="A32" s="26" t="s">
        <v>46</v>
      </c>
      <c r="B32" s="361">
        <v>0</v>
      </c>
      <c r="C32" s="47">
        <f>B32*10*C31</f>
        <v>0</v>
      </c>
      <c r="D32" s="71" t="s">
        <v>163</v>
      </c>
      <c r="F32" s="4"/>
      <c r="K32" s="352"/>
    </row>
    <row r="33" spans="1:11" ht="15.75" x14ac:dyDescent="0.25">
      <c r="A33" s="52" t="s">
        <v>47</v>
      </c>
      <c r="B33" s="224" t="str">
        <f>IF(B32&gt;3,"Sind Sie sicher?"," ")</f>
        <v xml:space="preserve"> </v>
      </c>
      <c r="C33" s="47"/>
      <c r="D33" s="194"/>
      <c r="K33" s="352"/>
    </row>
    <row r="34" spans="1:11" ht="15" customHeight="1" thickBot="1" x14ac:dyDescent="0.3">
      <c r="A34" s="26"/>
      <c r="B34" s="37" t="s">
        <v>438</v>
      </c>
      <c r="C34" s="104">
        <f>-0.000125*C7*C7+0.3245*C7+60</f>
        <v>180.71250000000001</v>
      </c>
      <c r="D34" s="196"/>
      <c r="K34" s="352"/>
    </row>
    <row r="35" spans="1:11" ht="16.5" thickBot="1" x14ac:dyDescent="0.3">
      <c r="A35" s="197"/>
      <c r="B35" s="34" t="s">
        <v>52</v>
      </c>
      <c r="C35" s="234">
        <f>C34-C11-C12-C13-C14-C15*0.7-C29+C30-C32</f>
        <v>140.71250000000001</v>
      </c>
      <c r="D35" s="198" t="s">
        <v>4</v>
      </c>
      <c r="K35" s="352"/>
    </row>
    <row r="36" spans="1:11" x14ac:dyDescent="0.25">
      <c r="A36" s="40"/>
      <c r="B36" s="199"/>
      <c r="C36" s="274" t="str">
        <f>IF(C35&gt;C17,"Obergrenze einhalten!!!"," ")</f>
        <v>Obergrenze einhalten!!!</v>
      </c>
      <c r="D36" s="200"/>
      <c r="E36" s="25"/>
      <c r="K36" s="352"/>
    </row>
    <row r="37" spans="1:11" ht="9" customHeight="1" x14ac:dyDescent="0.25">
      <c r="C37" s="21"/>
      <c r="E37" s="54"/>
      <c r="K37" s="352"/>
    </row>
    <row r="38" spans="1:11" ht="31.5" customHeight="1" x14ac:dyDescent="0.25">
      <c r="A38" s="302"/>
      <c r="B38" s="68"/>
      <c r="C38" s="303" t="s">
        <v>729</v>
      </c>
      <c r="D38" s="304"/>
      <c r="E38" s="54"/>
      <c r="F38" s="519" t="s">
        <v>183</v>
      </c>
      <c r="G38" s="122" t="s">
        <v>186</v>
      </c>
      <c r="H38" s="122"/>
      <c r="I38" s="122"/>
      <c r="K38" s="352"/>
    </row>
    <row r="39" spans="1:11" ht="18.75" customHeight="1" x14ac:dyDescent="0.25">
      <c r="A39" s="127"/>
      <c r="B39" s="141" t="s">
        <v>42</v>
      </c>
      <c r="C39" s="132">
        <f>C17</f>
        <v>140</v>
      </c>
      <c r="D39" s="305" t="s">
        <v>4</v>
      </c>
      <c r="E39" s="54"/>
      <c r="F39" s="60" t="s">
        <v>179</v>
      </c>
      <c r="G39" s="60">
        <v>90</v>
      </c>
      <c r="H39" s="611"/>
      <c r="I39" s="611"/>
    </row>
    <row r="40" spans="1:11" ht="18.75" customHeight="1" x14ac:dyDescent="0.25">
      <c r="A40" s="1602" t="s">
        <v>711</v>
      </c>
      <c r="B40" s="615" t="s">
        <v>710</v>
      </c>
      <c r="C40" s="620">
        <v>0</v>
      </c>
      <c r="D40" s="618" t="s">
        <v>491</v>
      </c>
      <c r="E40" s="54"/>
      <c r="F40" s="60" t="s">
        <v>814</v>
      </c>
      <c r="G40" s="60">
        <v>70</v>
      </c>
      <c r="H40" s="611"/>
      <c r="I40" s="611"/>
    </row>
    <row r="41" spans="1:11" ht="18.75" customHeight="1" x14ac:dyDescent="0.25">
      <c r="A41" s="1603"/>
      <c r="B41" s="616" t="s">
        <v>713</v>
      </c>
      <c r="C41" s="612">
        <v>0</v>
      </c>
      <c r="D41" s="309" t="s">
        <v>492</v>
      </c>
      <c r="E41" s="54"/>
      <c r="F41" s="60" t="s">
        <v>815</v>
      </c>
      <c r="G41" s="60">
        <v>70</v>
      </c>
      <c r="H41" s="611"/>
      <c r="I41" s="611"/>
    </row>
    <row r="42" spans="1:11" ht="18.75" customHeight="1" x14ac:dyDescent="0.25">
      <c r="A42" s="664" t="s">
        <v>827</v>
      </c>
      <c r="B42" s="246" t="s">
        <v>714</v>
      </c>
      <c r="C42" s="619">
        <v>0</v>
      </c>
      <c r="D42" s="309" t="s">
        <v>260</v>
      </c>
      <c r="E42" s="54"/>
      <c r="F42" s="60" t="s">
        <v>819</v>
      </c>
      <c r="G42" s="519">
        <v>70</v>
      </c>
      <c r="H42" s="611"/>
      <c r="I42" s="611"/>
    </row>
    <row r="43" spans="1:11" ht="18.75" customHeight="1" x14ac:dyDescent="0.25">
      <c r="A43" s="1602" t="s">
        <v>712</v>
      </c>
      <c r="B43" s="615" t="s">
        <v>715</v>
      </c>
      <c r="C43" s="612">
        <v>0</v>
      </c>
      <c r="D43" s="618" t="s">
        <v>491</v>
      </c>
      <c r="E43" s="54"/>
      <c r="F43" s="519" t="s">
        <v>820</v>
      </c>
      <c r="G43" s="519">
        <v>60</v>
      </c>
      <c r="H43" s="611"/>
      <c r="I43" s="611"/>
    </row>
    <row r="44" spans="1:11" ht="18.75" customHeight="1" x14ac:dyDescent="0.25">
      <c r="A44" s="1603"/>
      <c r="B44" s="616" t="s">
        <v>716</v>
      </c>
      <c r="C44" s="612">
        <v>0</v>
      </c>
      <c r="D44" s="309" t="s">
        <v>492</v>
      </c>
      <c r="E44" s="54"/>
      <c r="F44" s="60" t="s">
        <v>48</v>
      </c>
      <c r="G44" s="519">
        <v>60</v>
      </c>
      <c r="H44" s="611"/>
      <c r="I44" s="611"/>
    </row>
    <row r="45" spans="1:11" ht="18.75" customHeight="1" x14ac:dyDescent="0.25">
      <c r="A45" s="664" t="s">
        <v>827</v>
      </c>
      <c r="B45" s="617" t="s">
        <v>717</v>
      </c>
      <c r="C45" s="612">
        <v>0</v>
      </c>
      <c r="D45" s="309" t="s">
        <v>260</v>
      </c>
      <c r="E45" s="54"/>
      <c r="F45" s="60" t="s">
        <v>821</v>
      </c>
      <c r="G45" s="60">
        <v>45</v>
      </c>
      <c r="H45" s="611"/>
      <c r="I45" s="611"/>
    </row>
    <row r="46" spans="1:11" ht="18.75" customHeight="1" x14ac:dyDescent="0.25">
      <c r="A46" s="70"/>
      <c r="B46" s="112" t="s">
        <v>261</v>
      </c>
      <c r="C46" s="308">
        <f>(C40*C41*C42/100)+(C43*C44*C45/100)</f>
        <v>0</v>
      </c>
      <c r="D46" s="310" t="s">
        <v>4</v>
      </c>
      <c r="F46" s="519" t="s">
        <v>816</v>
      </c>
      <c r="G46" s="519">
        <v>30</v>
      </c>
      <c r="H46" s="611"/>
      <c r="I46" s="611"/>
    </row>
    <row r="47" spans="1:11" ht="18.75" customHeight="1" x14ac:dyDescent="0.25">
      <c r="A47" s="306"/>
      <c r="B47" s="307" t="s">
        <v>136</v>
      </c>
      <c r="C47" s="308">
        <f>C39-C46</f>
        <v>140</v>
      </c>
      <c r="D47" s="311" t="s">
        <v>4</v>
      </c>
      <c r="F47" s="60" t="s">
        <v>1034</v>
      </c>
      <c r="G47" s="519">
        <v>30</v>
      </c>
      <c r="H47" s="611"/>
      <c r="I47" s="611"/>
    </row>
    <row r="48" spans="1:11" ht="18.75" customHeight="1" x14ac:dyDescent="0.25">
      <c r="E48" s="23"/>
      <c r="F48" s="60" t="s">
        <v>187</v>
      </c>
      <c r="G48" s="519">
        <v>30</v>
      </c>
      <c r="H48" s="611"/>
      <c r="I48" s="611"/>
    </row>
    <row r="49" spans="1:9" ht="18.75" customHeight="1" x14ac:dyDescent="0.25">
      <c r="A49" s="36"/>
      <c r="B49" s="31"/>
      <c r="C49" s="312" t="s">
        <v>60</v>
      </c>
      <c r="D49" s="193"/>
      <c r="F49" s="60" t="s">
        <v>823</v>
      </c>
      <c r="G49" s="519">
        <v>30</v>
      </c>
      <c r="H49" s="611"/>
      <c r="I49" s="611"/>
    </row>
    <row r="50" spans="1:9" ht="18.75" customHeight="1" x14ac:dyDescent="0.25">
      <c r="A50" s="26"/>
      <c r="B50" s="41" t="s">
        <v>127</v>
      </c>
      <c r="C50" s="335">
        <v>0.35</v>
      </c>
      <c r="D50" s="217" t="s">
        <v>138</v>
      </c>
      <c r="E50" s="112"/>
      <c r="F50" s="60" t="s">
        <v>824</v>
      </c>
      <c r="G50" s="519">
        <v>30</v>
      </c>
      <c r="H50" s="611"/>
      <c r="I50" s="611"/>
    </row>
    <row r="51" spans="1:9" ht="18.75" customHeight="1" x14ac:dyDescent="0.25">
      <c r="A51" s="26"/>
      <c r="B51" s="32" t="s">
        <v>74</v>
      </c>
      <c r="C51" s="206">
        <f>C7*C50</f>
        <v>157.5</v>
      </c>
      <c r="D51" s="218" t="s">
        <v>76</v>
      </c>
      <c r="E51" s="21"/>
      <c r="F51" s="60" t="s">
        <v>825</v>
      </c>
      <c r="G51" s="519">
        <v>30</v>
      </c>
    </row>
    <row r="52" spans="1:9" ht="18.75" customHeight="1" x14ac:dyDescent="0.25">
      <c r="A52" s="26" t="s">
        <v>68</v>
      </c>
      <c r="B52" s="41" t="s">
        <v>72</v>
      </c>
      <c r="C52" s="187">
        <f>C35-C51</f>
        <v>-16.787499999999994</v>
      </c>
      <c r="D52" s="202" t="str">
        <f>IF(C52&gt;50,"!!!",(IF(C52&gt;40,"!!",(IF(C52&gt;30,"!"," ")))))</f>
        <v xml:space="preserve"> </v>
      </c>
      <c r="E52" s="80"/>
      <c r="F52" s="60" t="s">
        <v>180</v>
      </c>
      <c r="G52" s="519">
        <v>25</v>
      </c>
    </row>
    <row r="53" spans="1:9" ht="18.75" customHeight="1" x14ac:dyDescent="0.25">
      <c r="A53" s="26" t="s">
        <v>67</v>
      </c>
      <c r="B53" s="41" t="s">
        <v>72</v>
      </c>
      <c r="C53" s="187">
        <f>C17-C51</f>
        <v>-17.5</v>
      </c>
      <c r="D53" s="202" t="str">
        <f>IF(C53&gt;50,"!!!",(IF(C53&gt;40,"!!",(IF(C53&gt;30,"!"," ")))))</f>
        <v xml:space="preserve"> </v>
      </c>
      <c r="F53" s="60" t="s">
        <v>817</v>
      </c>
      <c r="G53" s="519">
        <v>25</v>
      </c>
    </row>
    <row r="54" spans="1:9" ht="18.75" customHeight="1" x14ac:dyDescent="0.25">
      <c r="A54" s="184" t="s">
        <v>739</v>
      </c>
      <c r="B54" s="85"/>
      <c r="C54" s="188"/>
      <c r="D54" s="205"/>
      <c r="E54" s="28"/>
      <c r="F54" s="519" t="s">
        <v>818</v>
      </c>
      <c r="G54" s="519">
        <v>25</v>
      </c>
    </row>
    <row r="55" spans="1:9" ht="18.75" customHeight="1" x14ac:dyDescent="0.25">
      <c r="A55" s="81"/>
      <c r="B55" s="41"/>
      <c r="C55" s="42"/>
      <c r="D55" s="15"/>
      <c r="E55" s="28"/>
      <c r="F55" s="519" t="s">
        <v>826</v>
      </c>
      <c r="G55" s="519">
        <v>10</v>
      </c>
    </row>
    <row r="56" spans="1:9" ht="18.75" customHeight="1" x14ac:dyDescent="0.25">
      <c r="A56" s="81"/>
      <c r="B56" s="41"/>
      <c r="C56" s="42"/>
      <c r="D56" s="15"/>
      <c r="E56" s="28"/>
      <c r="F56" s="519" t="s">
        <v>181</v>
      </c>
      <c r="G56" s="519">
        <v>10</v>
      </c>
    </row>
    <row r="57" spans="1:9" ht="18.75" customHeight="1" x14ac:dyDescent="0.25">
      <c r="A57" s="81"/>
      <c r="B57" s="41"/>
      <c r="C57" s="42"/>
      <c r="D57" s="15"/>
      <c r="E57" s="28"/>
      <c r="F57" s="519" t="s">
        <v>188</v>
      </c>
      <c r="G57" s="519">
        <v>5</v>
      </c>
    </row>
    <row r="58" spans="1:9" s="152" customFormat="1" ht="18.75" customHeight="1" x14ac:dyDescent="0.25">
      <c r="A58" s="32"/>
      <c r="B58" s="8"/>
      <c r="C58" s="3"/>
      <c r="D58"/>
      <c r="E58" s="28"/>
      <c r="F58" s="519" t="s">
        <v>182</v>
      </c>
      <c r="G58" s="519">
        <v>3</v>
      </c>
      <c r="H58" s="28"/>
    </row>
    <row r="59" spans="1:9" ht="56.25" customHeight="1" x14ac:dyDescent="0.25">
      <c r="A59" s="273" t="s">
        <v>167</v>
      </c>
      <c r="B59" s="1628" t="s">
        <v>511</v>
      </c>
      <c r="C59" s="1702"/>
      <c r="D59" s="1702"/>
      <c r="E59"/>
    </row>
    <row r="60" spans="1:9" ht="39.75" customHeight="1" x14ac:dyDescent="0.25">
      <c r="A60" s="18" t="s">
        <v>400</v>
      </c>
      <c r="B60" s="1628" t="s">
        <v>502</v>
      </c>
      <c r="C60" s="1702"/>
      <c r="D60" s="1702"/>
      <c r="E60"/>
    </row>
    <row r="61" spans="1:9" ht="64.5" customHeight="1" x14ac:dyDescent="0.25">
      <c r="A61" s="18" t="s">
        <v>405</v>
      </c>
      <c r="B61" s="1628" t="s">
        <v>501</v>
      </c>
      <c r="C61" s="1702"/>
      <c r="D61" s="1702"/>
    </row>
    <row r="62" spans="1:9" ht="36" customHeight="1" x14ac:dyDescent="0.25">
      <c r="A62" s="714" t="s">
        <v>403</v>
      </c>
      <c r="B62" s="1628" t="s">
        <v>504</v>
      </c>
      <c r="C62" s="1629"/>
      <c r="D62" s="1629"/>
      <c r="E62" s="30"/>
    </row>
    <row r="63" spans="1:9" x14ac:dyDescent="0.25">
      <c r="A63"/>
      <c r="B63"/>
      <c r="C63"/>
      <c r="E63" s="30"/>
    </row>
    <row r="64" spans="1:9" x14ac:dyDescent="0.25">
      <c r="A64"/>
      <c r="C64" s="8" t="s">
        <v>139</v>
      </c>
      <c r="D64" s="3"/>
      <c r="E64" s="30"/>
    </row>
    <row r="65" spans="1:8" x14ac:dyDescent="0.25">
      <c r="A65"/>
      <c r="B65" s="8" t="s">
        <v>137</v>
      </c>
      <c r="C65" s="277" t="s">
        <v>503</v>
      </c>
      <c r="D65" s="3"/>
      <c r="E65" s="30"/>
    </row>
    <row r="66" spans="1:8" x14ac:dyDescent="0.25">
      <c r="A66"/>
      <c r="C66" s="277" t="s">
        <v>506</v>
      </c>
      <c r="D66" s="3"/>
      <c r="E66" s="276"/>
    </row>
    <row r="67" spans="1:8" x14ac:dyDescent="0.25">
      <c r="A67"/>
      <c r="B67" s="8" t="s">
        <v>146</v>
      </c>
      <c r="C67" s="8"/>
      <c r="D67" s="3"/>
      <c r="E67" s="276"/>
      <c r="H67"/>
    </row>
    <row r="68" spans="1:8" x14ac:dyDescent="0.25">
      <c r="A68" s="3" t="s">
        <v>33</v>
      </c>
      <c r="B68" s="8" t="s">
        <v>499</v>
      </c>
      <c r="C68" s="8" t="s">
        <v>132</v>
      </c>
      <c r="D68" s="3"/>
      <c r="E68" s="276"/>
      <c r="H68"/>
    </row>
    <row r="69" spans="1:8" ht="9" customHeight="1" x14ac:dyDescent="0.25">
      <c r="A69" s="3"/>
      <c r="B69" s="1"/>
      <c r="C69" s="8"/>
      <c r="D69" s="3"/>
      <c r="E69" s="276"/>
      <c r="H69"/>
    </row>
    <row r="70" spans="1:8" x14ac:dyDescent="0.25">
      <c r="A70" s="3">
        <v>250</v>
      </c>
      <c r="B70" s="8">
        <v>140</v>
      </c>
      <c r="C70" s="8">
        <f>A70*0.39+35</f>
        <v>132.5</v>
      </c>
      <c r="D70" s="3"/>
      <c r="E70" s="276"/>
      <c r="F70" s="3"/>
      <c r="G70" s="275"/>
      <c r="H70"/>
    </row>
    <row r="71" spans="1:8" x14ac:dyDescent="0.25">
      <c r="A71" s="3">
        <v>350</v>
      </c>
      <c r="B71" s="8">
        <v>160</v>
      </c>
      <c r="C71" s="8">
        <f>A71*0.355+35</f>
        <v>159.25</v>
      </c>
      <c r="D71" s="3"/>
      <c r="F71" s="3"/>
      <c r="H71"/>
    </row>
    <row r="72" spans="1:8" x14ac:dyDescent="0.25">
      <c r="A72" s="3">
        <v>450</v>
      </c>
      <c r="B72" s="8">
        <v>180</v>
      </c>
      <c r="C72" s="8">
        <f>A72*0.325+35</f>
        <v>181.25</v>
      </c>
      <c r="D72" s="3"/>
      <c r="F72" s="3"/>
      <c r="H72"/>
    </row>
    <row r="73" spans="1:8" x14ac:dyDescent="0.25">
      <c r="A73" s="3">
        <v>550</v>
      </c>
      <c r="B73" s="8">
        <v>200</v>
      </c>
      <c r="C73" s="8">
        <f>A73*0.3+35</f>
        <v>200</v>
      </c>
      <c r="D73" s="3"/>
      <c r="F73" s="3"/>
      <c r="H73"/>
    </row>
    <row r="74" spans="1:8" x14ac:dyDescent="0.25">
      <c r="A74" s="3">
        <v>650</v>
      </c>
      <c r="B74" s="8">
        <v>220</v>
      </c>
      <c r="C74" s="8">
        <f>A74*0.28+35</f>
        <v>217.00000000000003</v>
      </c>
      <c r="D74" s="3"/>
      <c r="F74" s="3"/>
      <c r="G74" s="3"/>
      <c r="H74"/>
    </row>
    <row r="75" spans="1:8" x14ac:dyDescent="0.25">
      <c r="A75" s="3">
        <v>750</v>
      </c>
      <c r="B75" s="8">
        <v>240</v>
      </c>
      <c r="C75" s="8">
        <f>A75*0.265+35</f>
        <v>233.75</v>
      </c>
      <c r="D75" s="3"/>
      <c r="F75" s="3"/>
      <c r="G75" s="3"/>
      <c r="H75"/>
    </row>
    <row r="76" spans="1:8" x14ac:dyDescent="0.25">
      <c r="A76"/>
      <c r="B76"/>
      <c r="C76" s="44"/>
      <c r="D76" s="3"/>
      <c r="E76"/>
      <c r="F76" s="3"/>
      <c r="G76" s="3"/>
      <c r="H76"/>
    </row>
    <row r="77" spans="1:8" x14ac:dyDescent="0.25">
      <c r="A77"/>
      <c r="B77"/>
      <c r="D77" s="3"/>
      <c r="E77"/>
      <c r="F77" s="3"/>
      <c r="G77" s="3"/>
      <c r="H77"/>
    </row>
    <row r="78" spans="1:8" x14ac:dyDescent="0.25">
      <c r="A78"/>
      <c r="B78"/>
      <c r="D78" s="3"/>
      <c r="E78"/>
      <c r="F78" s="3"/>
      <c r="G78" s="3"/>
      <c r="H78"/>
    </row>
    <row r="79" spans="1:8" x14ac:dyDescent="0.25">
      <c r="A79"/>
      <c r="B79"/>
      <c r="C79"/>
      <c r="E79"/>
      <c r="F79" s="3"/>
      <c r="H79"/>
    </row>
    <row r="80" spans="1:8" x14ac:dyDescent="0.25">
      <c r="A80"/>
      <c r="B80"/>
      <c r="C80"/>
      <c r="F80" s="3"/>
      <c r="H80"/>
    </row>
    <row r="81" spans="1:8" x14ac:dyDescent="0.25">
      <c r="A81"/>
      <c r="B81"/>
      <c r="C81"/>
      <c r="F81" s="3"/>
      <c r="H81"/>
    </row>
    <row r="82" spans="1:8" x14ac:dyDescent="0.25">
      <c r="A82"/>
      <c r="B82"/>
      <c r="C82"/>
      <c r="F82" s="3"/>
      <c r="H82"/>
    </row>
    <row r="83" spans="1:8" x14ac:dyDescent="0.25">
      <c r="F83" s="3"/>
      <c r="H83"/>
    </row>
    <row r="84" spans="1:8" x14ac:dyDescent="0.25">
      <c r="F84" s="3"/>
      <c r="H84"/>
    </row>
    <row r="85" spans="1:8" x14ac:dyDescent="0.25">
      <c r="H85"/>
    </row>
    <row r="86" spans="1:8" x14ac:dyDescent="0.25">
      <c r="H86"/>
    </row>
    <row r="87" spans="1:8" x14ac:dyDescent="0.25">
      <c r="H87"/>
    </row>
    <row r="88" spans="1:8" x14ac:dyDescent="0.25">
      <c r="H88"/>
    </row>
  </sheetData>
  <sheetProtection sheet="1" formatCells="0" formatColumns="0" formatRows="0" selectLockedCells="1"/>
  <mergeCells count="14">
    <mergeCell ref="B59:D59"/>
    <mergeCell ref="B60:D60"/>
    <mergeCell ref="B61:D61"/>
    <mergeCell ref="B62:D62"/>
    <mergeCell ref="A43:A44"/>
    <mergeCell ref="A28:B28"/>
    <mergeCell ref="A40:A41"/>
    <mergeCell ref="A5:D5"/>
    <mergeCell ref="A6:B6"/>
    <mergeCell ref="A19:B19"/>
    <mergeCell ref="A20:A24"/>
    <mergeCell ref="A25:A26"/>
    <mergeCell ref="B25:B26"/>
    <mergeCell ref="C25:D26"/>
  </mergeCells>
  <dataValidations count="5">
    <dataValidation type="list" allowBlank="1" sqref="B13" xr:uid="{00000000-0002-0000-1D00-000000000000}">
      <formula1>$G$21:$G$31</formula1>
    </dataValidation>
    <dataValidation type="list" allowBlank="1" showInputMessage="1" showErrorMessage="1" sqref="B31" xr:uid="{00000000-0002-0000-1D00-000001000000}">
      <formula1>I21:I27</formula1>
    </dataValidation>
    <dataValidation type="list" allowBlank="1" sqref="B16" xr:uid="{00000000-0002-0000-1D00-000002000000}">
      <formula1>"bis 4 %, größer 4 %"</formula1>
    </dataValidation>
    <dataValidation type="list" allowBlank="1" sqref="I8:I9" xr:uid="{00000000-0002-0000-1D00-000003000000}">
      <formula1>"Humusgehalt"</formula1>
    </dataValidation>
    <dataValidation type="list" allowBlank="1" sqref="B14" xr:uid="{00000000-0002-0000-1D00-000004000000}">
      <formula1>Vorfrucht</formula1>
    </dataValidation>
  </dataValidations>
  <pageMargins left="0.7" right="0.7" top="0.78740157499999996" bottom="0.78740157499999996" header="0.3" footer="0.3"/>
  <pageSetup paperSize="9" scale="67" orientation="portrait" horizontalDpi="4294967293" verticalDpi="4294967293"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Tabelle39">
    <tabColor theme="0"/>
    <pageSetUpPr fitToPage="1"/>
  </sheetPr>
  <dimension ref="A1:M105"/>
  <sheetViews>
    <sheetView zoomScaleNormal="100" workbookViewId="0">
      <selection activeCell="C50" sqref="C50"/>
    </sheetView>
  </sheetViews>
  <sheetFormatPr baseColWidth="10" defaultRowHeight="15" x14ac:dyDescent="0.25"/>
  <cols>
    <col min="1" max="1" width="40.42578125" style="32" customWidth="1"/>
    <col min="2" max="2" width="39.7109375" style="8" customWidth="1"/>
    <col min="3" max="3" width="24.42578125" style="3" customWidth="1"/>
    <col min="4" max="4" width="26.28515625" customWidth="1"/>
    <col min="5" max="5" width="19.5703125" customWidth="1"/>
    <col min="6" max="6" width="43.5703125" customWidth="1"/>
    <col min="7" max="7" width="44" customWidth="1"/>
    <col min="8" max="8" width="23.5703125" style="3" customWidth="1"/>
    <col min="9" max="9" width="19.85546875" customWidth="1"/>
  </cols>
  <sheetData>
    <row r="1" spans="1:13" x14ac:dyDescent="0.25">
      <c r="B1" s="112" t="str">
        <f>'DüV-N-Ackerbau (1)'!C1</f>
        <v>Testbetrieb</v>
      </c>
      <c r="C1" s="112" t="str">
        <f>'DüV-N-Ackerbau (1)'!F1</f>
        <v>Erntejahr</v>
      </c>
      <c r="E1" s="6" t="s">
        <v>36</v>
      </c>
    </row>
    <row r="2" spans="1:13" x14ac:dyDescent="0.25">
      <c r="B2" s="112">
        <f>'DüV-N-Ackerbau (1)'!C2</f>
        <v>1</v>
      </c>
      <c r="C2" s="112">
        <f>'DüV-N-Ackerbau (1)'!G1</f>
        <v>2022</v>
      </c>
      <c r="E2" s="7" t="s">
        <v>34</v>
      </c>
    </row>
    <row r="3" spans="1:13" x14ac:dyDescent="0.25">
      <c r="B3" s="112">
        <f>'DüV-N-Ackerbau (1)'!C3</f>
        <v>123456</v>
      </c>
      <c r="C3" s="41"/>
    </row>
    <row r="4" spans="1:13" ht="9" customHeight="1" thickBot="1" x14ac:dyDescent="0.3"/>
    <row r="5" spans="1:13" ht="21.75" thickBot="1" x14ac:dyDescent="0.3">
      <c r="A5" s="1604" t="s">
        <v>145</v>
      </c>
      <c r="B5" s="1605"/>
      <c r="C5" s="1605"/>
      <c r="D5" s="1606"/>
    </row>
    <row r="6" spans="1:13" ht="48" thickBot="1" x14ac:dyDescent="0.3">
      <c r="A6" s="1607" t="s">
        <v>580</v>
      </c>
      <c r="B6" s="1608"/>
      <c r="C6" s="280" t="s">
        <v>579</v>
      </c>
      <c r="D6" s="346" t="s">
        <v>533</v>
      </c>
      <c r="G6" s="352"/>
      <c r="H6" s="351" t="s">
        <v>5</v>
      </c>
      <c r="I6" s="352"/>
      <c r="J6" s="352"/>
      <c r="K6" s="352"/>
      <c r="L6" s="352"/>
      <c r="M6" s="352"/>
    </row>
    <row r="7" spans="1:13" ht="15.75" x14ac:dyDescent="0.25">
      <c r="A7" s="63"/>
      <c r="B7" s="32" t="s">
        <v>75</v>
      </c>
      <c r="C7" s="287">
        <v>450</v>
      </c>
      <c r="D7" s="288"/>
      <c r="G7" s="351" t="s">
        <v>6</v>
      </c>
      <c r="H7" s="352"/>
      <c r="I7" s="352"/>
      <c r="J7" s="352" t="s">
        <v>159</v>
      </c>
      <c r="K7" s="352"/>
      <c r="L7" s="352"/>
      <c r="M7" s="352"/>
    </row>
    <row r="8" spans="1:13" ht="15.75" x14ac:dyDescent="0.25">
      <c r="A8" s="63"/>
      <c r="B8" s="32"/>
      <c r="C8" s="48"/>
      <c r="D8" s="288"/>
      <c r="G8" s="352" t="s">
        <v>510</v>
      </c>
      <c r="H8" s="352">
        <v>0</v>
      </c>
      <c r="I8" s="352"/>
      <c r="J8" s="352" t="s">
        <v>160</v>
      </c>
      <c r="K8" s="352">
        <v>0</v>
      </c>
      <c r="L8" s="352"/>
      <c r="M8" s="352"/>
    </row>
    <row r="9" spans="1:13" ht="15.75" x14ac:dyDescent="0.25">
      <c r="A9" s="63"/>
      <c r="B9" s="32"/>
      <c r="C9" s="48" t="s">
        <v>4</v>
      </c>
      <c r="D9" s="288"/>
      <c r="G9" s="352" t="s">
        <v>22</v>
      </c>
      <c r="H9" s="352">
        <v>10</v>
      </c>
      <c r="I9" s="352"/>
      <c r="J9" s="352" t="s">
        <v>161</v>
      </c>
      <c r="K9" s="352">
        <v>20</v>
      </c>
      <c r="L9" s="352"/>
      <c r="M9" s="352"/>
    </row>
    <row r="10" spans="1:13" ht="15.75" x14ac:dyDescent="0.25">
      <c r="A10" s="63"/>
      <c r="B10" s="32" t="s">
        <v>37</v>
      </c>
      <c r="C10" s="49">
        <f>140+C7*0.2</f>
        <v>230</v>
      </c>
      <c r="D10" s="289"/>
      <c r="G10" s="352" t="s">
        <v>535</v>
      </c>
      <c r="H10" s="352">
        <v>10</v>
      </c>
      <c r="I10" s="352"/>
      <c r="J10" s="352"/>
      <c r="K10" s="352"/>
      <c r="L10" s="352"/>
      <c r="M10" s="352"/>
    </row>
    <row r="11" spans="1:13" ht="18" x14ac:dyDescent="0.35">
      <c r="A11" s="63"/>
      <c r="B11" s="32" t="s">
        <v>38</v>
      </c>
      <c r="C11" s="360">
        <v>20</v>
      </c>
      <c r="D11" s="289"/>
      <c r="G11" s="352" t="s">
        <v>7</v>
      </c>
      <c r="H11" s="352">
        <v>10</v>
      </c>
      <c r="I11" s="352"/>
      <c r="J11" s="352"/>
      <c r="K11" s="352"/>
      <c r="L11" s="352"/>
      <c r="M11" s="352"/>
    </row>
    <row r="12" spans="1:13" ht="18" x14ac:dyDescent="0.35">
      <c r="A12" s="63"/>
      <c r="B12" s="32" t="s">
        <v>39</v>
      </c>
      <c r="C12" s="360">
        <v>20</v>
      </c>
      <c r="D12" s="289"/>
      <c r="G12" s="352" t="s">
        <v>17</v>
      </c>
      <c r="H12" s="352">
        <v>20</v>
      </c>
      <c r="I12" s="352"/>
      <c r="J12" s="352"/>
      <c r="K12" s="352"/>
      <c r="L12" s="352"/>
      <c r="M12" s="352"/>
    </row>
    <row r="13" spans="1:13" x14ac:dyDescent="0.25">
      <c r="A13" s="63" t="s">
        <v>8</v>
      </c>
      <c r="B13" s="290" t="s">
        <v>28</v>
      </c>
      <c r="C13" s="47">
        <f>VLOOKUP(B13,G21:H31,2,FALSE)</f>
        <v>10</v>
      </c>
      <c r="D13" s="289"/>
      <c r="G13" s="352" t="s">
        <v>23</v>
      </c>
      <c r="H13" s="352">
        <v>0</v>
      </c>
      <c r="I13" s="352"/>
      <c r="J13" s="352"/>
      <c r="K13" s="352"/>
      <c r="L13" s="352"/>
      <c r="M13" s="352"/>
    </row>
    <row r="14" spans="1:13" x14ac:dyDescent="0.25">
      <c r="A14" s="63" t="s">
        <v>6</v>
      </c>
      <c r="B14" s="290" t="s">
        <v>510</v>
      </c>
      <c r="C14" s="47">
        <f>VLOOKUP(B14,G8:H18,2,FALSE)</f>
        <v>0</v>
      </c>
      <c r="D14" s="289"/>
      <c r="G14" s="352" t="s">
        <v>20</v>
      </c>
      <c r="H14" s="352">
        <v>20</v>
      </c>
      <c r="I14" s="352"/>
      <c r="J14" s="352"/>
      <c r="K14" s="352"/>
      <c r="L14" s="352"/>
      <c r="M14" s="352"/>
    </row>
    <row r="15" spans="1:13" ht="15.75" x14ac:dyDescent="0.25">
      <c r="A15" s="59" t="s">
        <v>1073</v>
      </c>
      <c r="B15" s="8" t="s">
        <v>24</v>
      </c>
      <c r="C15" s="291">
        <v>0</v>
      </c>
      <c r="D15" s="289"/>
      <c r="E15" s="358" t="str">
        <f>IF(C15&gt;20,"Sind Sie sicher?"," ")</f>
        <v xml:space="preserve"> </v>
      </c>
      <c r="G15" s="352" t="s">
        <v>19</v>
      </c>
      <c r="H15" s="352">
        <v>10</v>
      </c>
      <c r="I15" s="352"/>
      <c r="J15" s="352"/>
      <c r="K15" s="352"/>
      <c r="L15" s="352"/>
      <c r="M15" s="352"/>
    </row>
    <row r="16" spans="1:13" ht="15.75" thickBot="1" x14ac:dyDescent="0.3">
      <c r="A16" s="59" t="s">
        <v>159</v>
      </c>
      <c r="B16" s="292" t="s">
        <v>160</v>
      </c>
      <c r="C16" s="65">
        <f>VLOOKUP(B16,J8:K9,2,FALSE)</f>
        <v>0</v>
      </c>
      <c r="D16" s="293"/>
      <c r="G16" s="352" t="s">
        <v>536</v>
      </c>
      <c r="H16" s="352">
        <v>0</v>
      </c>
      <c r="I16" s="352"/>
      <c r="J16" s="352"/>
      <c r="K16" s="352"/>
      <c r="L16" s="352"/>
      <c r="M16" s="352"/>
    </row>
    <row r="17" spans="1:13" ht="16.5" thickBot="1" x14ac:dyDescent="0.3">
      <c r="A17" s="251"/>
      <c r="B17" s="243" t="s">
        <v>475</v>
      </c>
      <c r="C17" s="239">
        <f>C10-SUM(C11:C16)</f>
        <v>180</v>
      </c>
      <c r="D17" s="244" t="s">
        <v>477</v>
      </c>
      <c r="E17" s="1"/>
      <c r="G17" s="352" t="s">
        <v>21</v>
      </c>
      <c r="H17" s="352">
        <v>10</v>
      </c>
      <c r="I17" s="352"/>
      <c r="J17" s="352"/>
      <c r="K17" s="352"/>
      <c r="L17" s="352"/>
      <c r="M17" s="352"/>
    </row>
    <row r="18" spans="1:13" ht="10.5" customHeight="1" thickBot="1" x14ac:dyDescent="0.3">
      <c r="B18" s="141"/>
      <c r="C18" s="10"/>
      <c r="D18" s="252"/>
      <c r="E18" s="1"/>
      <c r="G18" s="352" t="s">
        <v>18</v>
      </c>
      <c r="H18" s="352">
        <v>20</v>
      </c>
      <c r="I18" s="352"/>
      <c r="J18" s="352"/>
      <c r="K18" s="352"/>
      <c r="L18" s="352"/>
      <c r="M18" s="352"/>
    </row>
    <row r="19" spans="1:13" ht="20.25" customHeight="1" x14ac:dyDescent="0.25">
      <c r="A19" s="1607" t="s">
        <v>584</v>
      </c>
      <c r="B19" s="1609"/>
      <c r="C19" s="660" t="s">
        <v>593</v>
      </c>
      <c r="D19" s="458" t="s">
        <v>598</v>
      </c>
      <c r="E19" s="1"/>
      <c r="G19" s="352"/>
      <c r="H19" s="352"/>
      <c r="I19" s="352"/>
      <c r="J19" s="352"/>
      <c r="K19" s="352"/>
      <c r="L19" s="352"/>
      <c r="M19" s="352"/>
    </row>
    <row r="20" spans="1:13" ht="15.75" customHeight="1" x14ac:dyDescent="0.25">
      <c r="A20" s="1610" t="s">
        <v>596</v>
      </c>
      <c r="B20" s="464" t="s">
        <v>585</v>
      </c>
      <c r="C20" s="462" t="s">
        <v>599</v>
      </c>
      <c r="D20" s="471" t="s">
        <v>600</v>
      </c>
      <c r="E20" s="1"/>
      <c r="G20" s="351" t="s">
        <v>8</v>
      </c>
      <c r="H20" s="352"/>
      <c r="I20" s="352"/>
      <c r="J20" s="351" t="s">
        <v>135</v>
      </c>
      <c r="K20" s="352"/>
      <c r="L20" s="352"/>
      <c r="M20" s="352"/>
    </row>
    <row r="21" spans="1:13" ht="19.5" customHeight="1" x14ac:dyDescent="0.25">
      <c r="A21" s="1611"/>
      <c r="B21" s="442" t="s">
        <v>589</v>
      </c>
      <c r="C21" s="226">
        <f>C23*2</f>
        <v>126.00000000000001</v>
      </c>
      <c r="D21" s="456">
        <f>D23*2</f>
        <v>135</v>
      </c>
      <c r="E21" s="1"/>
      <c r="G21" s="352" t="s">
        <v>31</v>
      </c>
      <c r="H21" s="352">
        <v>0</v>
      </c>
      <c r="I21" s="352"/>
      <c r="J21" s="971" t="s">
        <v>1225</v>
      </c>
      <c r="K21" s="971">
        <v>1</v>
      </c>
      <c r="L21" s="352"/>
      <c r="M21" s="352"/>
    </row>
    <row r="22" spans="1:13" ht="19.5" customHeight="1" x14ac:dyDescent="0.25">
      <c r="A22" s="1611"/>
      <c r="B22" s="442" t="s">
        <v>590</v>
      </c>
      <c r="C22" s="226">
        <f>C23*1.5</f>
        <v>94.500000000000014</v>
      </c>
      <c r="D22" s="456">
        <f>D23*1.5</f>
        <v>101.25</v>
      </c>
      <c r="E22" s="1"/>
      <c r="G22" s="352" t="s">
        <v>25</v>
      </c>
      <c r="H22" s="352">
        <v>0</v>
      </c>
      <c r="I22" s="352"/>
      <c r="J22" s="971" t="s">
        <v>184</v>
      </c>
      <c r="K22" s="971">
        <v>0.5</v>
      </c>
      <c r="L22" s="352"/>
      <c r="M22" s="352"/>
    </row>
    <row r="23" spans="1:13" ht="19.5" customHeight="1" x14ac:dyDescent="0.25">
      <c r="A23" s="1611"/>
      <c r="B23" s="442" t="s">
        <v>591</v>
      </c>
      <c r="C23" s="446">
        <f>C7*0.14</f>
        <v>63.000000000000007</v>
      </c>
      <c r="D23" s="457">
        <f>C7*0.15</f>
        <v>67.5</v>
      </c>
      <c r="E23" s="1"/>
      <c r="G23" s="352" t="s">
        <v>26</v>
      </c>
      <c r="H23" s="352">
        <v>0</v>
      </c>
      <c r="I23" s="352"/>
      <c r="J23" s="971" t="s">
        <v>1227</v>
      </c>
      <c r="K23" s="971">
        <v>0.6</v>
      </c>
      <c r="L23" s="352"/>
      <c r="M23" s="352"/>
    </row>
    <row r="24" spans="1:13" ht="19.5" customHeight="1" x14ac:dyDescent="0.25">
      <c r="A24" s="1421"/>
      <c r="B24" s="472" t="s">
        <v>592</v>
      </c>
      <c r="C24" s="226">
        <f>C23*0.5</f>
        <v>31.500000000000004</v>
      </c>
      <c r="D24" s="456">
        <f>D23*0.5</f>
        <v>33.75</v>
      </c>
      <c r="E24" s="1"/>
      <c r="G24" s="352" t="s">
        <v>27</v>
      </c>
      <c r="H24" s="352">
        <v>20</v>
      </c>
      <c r="I24" s="352"/>
      <c r="J24" s="971" t="s">
        <v>1228</v>
      </c>
      <c r="K24" s="971">
        <v>0.4</v>
      </c>
      <c r="L24" s="352"/>
      <c r="M24" s="352"/>
    </row>
    <row r="25" spans="1:13" ht="27.75" customHeight="1" x14ac:dyDescent="0.25">
      <c r="A25" s="1624"/>
      <c r="B25" s="1625" t="s">
        <v>594</v>
      </c>
      <c r="C25" s="1616" t="s">
        <v>597</v>
      </c>
      <c r="D25" s="1617"/>
      <c r="E25" s="1"/>
      <c r="G25" s="352" t="s">
        <v>28</v>
      </c>
      <c r="H25" s="352">
        <v>10</v>
      </c>
      <c r="I25" s="352"/>
      <c r="J25" s="971" t="s">
        <v>1226</v>
      </c>
      <c r="K25" s="971">
        <v>0.35</v>
      </c>
      <c r="L25" s="352"/>
      <c r="M25" s="352"/>
    </row>
    <row r="26" spans="1:13" ht="24.75" customHeight="1" thickBot="1" x14ac:dyDescent="0.3">
      <c r="A26" s="1621"/>
      <c r="B26" s="1623"/>
      <c r="C26" s="1618"/>
      <c r="D26" s="1619"/>
      <c r="E26" s="1"/>
      <c r="G26" s="352" t="s">
        <v>29</v>
      </c>
      <c r="H26" s="352">
        <v>10</v>
      </c>
      <c r="I26" s="352"/>
      <c r="J26" s="971" t="s">
        <v>48</v>
      </c>
      <c r="K26" s="971">
        <v>0.3</v>
      </c>
      <c r="L26" s="352"/>
      <c r="M26" s="352"/>
    </row>
    <row r="27" spans="1:13" ht="9" customHeight="1" thickBot="1" x14ac:dyDescent="0.3">
      <c r="G27" s="352" t="s">
        <v>681</v>
      </c>
      <c r="H27" s="352">
        <v>30</v>
      </c>
      <c r="I27" s="352"/>
      <c r="J27" s="971" t="s">
        <v>31</v>
      </c>
      <c r="K27" s="971">
        <v>0</v>
      </c>
      <c r="L27" s="352"/>
      <c r="M27" s="352"/>
    </row>
    <row r="28" spans="1:13" ht="32.25" customHeight="1" thickBot="1" x14ac:dyDescent="0.3">
      <c r="A28" s="1378" t="s">
        <v>498</v>
      </c>
      <c r="B28" s="1703"/>
      <c r="C28" s="233" t="s">
        <v>392</v>
      </c>
      <c r="D28" s="279" t="s">
        <v>342</v>
      </c>
      <c r="G28" s="352" t="s">
        <v>30</v>
      </c>
      <c r="H28" s="352">
        <v>40</v>
      </c>
      <c r="I28" s="352"/>
      <c r="J28" s="352"/>
      <c r="K28" s="352"/>
      <c r="L28" s="352"/>
      <c r="M28" s="352"/>
    </row>
    <row r="29" spans="1:13" ht="17.25" customHeight="1" x14ac:dyDescent="0.25">
      <c r="A29" s="36" t="s">
        <v>35</v>
      </c>
      <c r="B29" s="339">
        <v>60</v>
      </c>
      <c r="C29" s="201">
        <f>IF(OR(B29&lt;1,B29&gt;100),"Zahl 0 bis 100 eingeben",(-0.0025*B29*B29+0.75*B29-26)*0.4)</f>
        <v>4</v>
      </c>
      <c r="D29" s="69" t="s">
        <v>163</v>
      </c>
      <c r="G29" s="352" t="s">
        <v>9</v>
      </c>
      <c r="H29" s="352">
        <v>0</v>
      </c>
      <c r="I29" s="352"/>
      <c r="J29" s="352"/>
      <c r="K29" s="352"/>
      <c r="L29" s="352"/>
      <c r="M29" s="352"/>
    </row>
    <row r="30" spans="1:13" x14ac:dyDescent="0.25">
      <c r="A30" s="70" t="s">
        <v>162</v>
      </c>
      <c r="B30" s="295">
        <v>200</v>
      </c>
      <c r="C30" s="50">
        <f>IF(OR(B30&lt;40,B30&gt;800),"gibt es nicht",(B30*0.025-1))</f>
        <v>4</v>
      </c>
      <c r="D30" s="71" t="s">
        <v>164</v>
      </c>
      <c r="G30" s="352" t="s">
        <v>10</v>
      </c>
      <c r="H30" s="352">
        <v>10</v>
      </c>
      <c r="M30" s="352"/>
    </row>
    <row r="31" spans="1:13" x14ac:dyDescent="0.25">
      <c r="A31" s="26" t="s">
        <v>51</v>
      </c>
      <c r="B31" s="290" t="s">
        <v>31</v>
      </c>
      <c r="C31" s="103">
        <f>VLOOKUP(B31,J21:K27,2,FALSE)</f>
        <v>0</v>
      </c>
      <c r="D31" s="195" t="s">
        <v>50</v>
      </c>
      <c r="G31" s="352" t="s">
        <v>31</v>
      </c>
      <c r="H31" s="352">
        <v>0</v>
      </c>
      <c r="M31" s="352"/>
    </row>
    <row r="32" spans="1:13" x14ac:dyDescent="0.25">
      <c r="A32" s="26" t="s">
        <v>46</v>
      </c>
      <c r="B32" s="361">
        <v>0</v>
      </c>
      <c r="C32" s="47">
        <f>B32*10*C31</f>
        <v>0</v>
      </c>
      <c r="D32" s="71" t="s">
        <v>163</v>
      </c>
      <c r="F32" s="4"/>
      <c r="M32" s="352"/>
    </row>
    <row r="33" spans="1:13" ht="15.75" x14ac:dyDescent="0.25">
      <c r="A33" s="52" t="s">
        <v>47</v>
      </c>
      <c r="B33" s="224" t="str">
        <f>IF(B32&gt;3,"Sind Sie sicher?"," ")</f>
        <v xml:space="preserve"> </v>
      </c>
      <c r="C33" s="47"/>
      <c r="D33" s="194"/>
      <c r="M33" s="352"/>
    </row>
    <row r="34" spans="1:13" ht="15" customHeight="1" thickBot="1" x14ac:dyDescent="0.3">
      <c r="A34" s="26"/>
      <c r="B34" s="37" t="s">
        <v>438</v>
      </c>
      <c r="C34" s="104">
        <f>-0.000225*C7*C7+0.3645*C7+112.7</f>
        <v>231.16250000000002</v>
      </c>
      <c r="D34" s="196"/>
      <c r="M34" s="352"/>
    </row>
    <row r="35" spans="1:13" ht="16.5" thickBot="1" x14ac:dyDescent="0.3">
      <c r="A35" s="197"/>
      <c r="B35" s="34" t="s">
        <v>52</v>
      </c>
      <c r="C35" s="234">
        <f>C34-C11-C12*0.75-C13*0.6-C14*0.6-C15*0.5-C29+C30-C32*0.5</f>
        <v>190.16250000000002</v>
      </c>
      <c r="D35" s="198" t="s">
        <v>4</v>
      </c>
      <c r="M35" s="352"/>
    </row>
    <row r="36" spans="1:13" ht="15.75" customHeight="1" x14ac:dyDescent="0.25">
      <c r="A36" s="40"/>
      <c r="B36" s="199"/>
      <c r="C36" s="105" t="str">
        <f>IF(C35&gt;C17,"Obergrenze einhalten!!!"," ")</f>
        <v>Obergrenze einhalten!!!</v>
      </c>
      <c r="D36" s="200"/>
      <c r="M36" s="352"/>
    </row>
    <row r="37" spans="1:13" ht="9.75" customHeight="1" x14ac:dyDescent="0.25">
      <c r="C37" s="21"/>
      <c r="M37" s="352"/>
    </row>
    <row r="38" spans="1:13" ht="30.75" customHeight="1" x14ac:dyDescent="0.25">
      <c r="A38" s="302"/>
      <c r="B38" s="68"/>
      <c r="C38" s="303" t="s">
        <v>729</v>
      </c>
      <c r="D38" s="304"/>
      <c r="F38" s="519" t="s">
        <v>183</v>
      </c>
      <c r="G38" s="122" t="s">
        <v>186</v>
      </c>
      <c r="H38" s="122"/>
      <c r="I38" s="122"/>
      <c r="M38" s="352"/>
    </row>
    <row r="39" spans="1:13" ht="19.5" customHeight="1" x14ac:dyDescent="0.25">
      <c r="A39" s="127"/>
      <c r="B39" s="141" t="s">
        <v>42</v>
      </c>
      <c r="C39" s="132">
        <f>C17</f>
        <v>180</v>
      </c>
      <c r="D39" s="305" t="s">
        <v>4</v>
      </c>
      <c r="F39" s="60" t="s">
        <v>179</v>
      </c>
      <c r="G39" s="60">
        <v>90</v>
      </c>
      <c r="H39" s="611"/>
      <c r="I39" s="611"/>
      <c r="M39" s="352"/>
    </row>
    <row r="40" spans="1:13" ht="19.5" customHeight="1" x14ac:dyDescent="0.25">
      <c r="A40" s="1602" t="s">
        <v>711</v>
      </c>
      <c r="B40" s="615" t="s">
        <v>710</v>
      </c>
      <c r="C40" s="620">
        <v>0</v>
      </c>
      <c r="D40" s="618" t="s">
        <v>491</v>
      </c>
      <c r="F40" s="60" t="s">
        <v>814</v>
      </c>
      <c r="G40" s="60">
        <v>70</v>
      </c>
      <c r="H40" s="611"/>
      <c r="I40" s="611"/>
      <c r="M40" s="352"/>
    </row>
    <row r="41" spans="1:13" ht="19.5" customHeight="1" x14ac:dyDescent="0.25">
      <c r="A41" s="1603"/>
      <c r="B41" s="616" t="s">
        <v>713</v>
      </c>
      <c r="C41" s="612">
        <v>0</v>
      </c>
      <c r="D41" s="309" t="s">
        <v>492</v>
      </c>
      <c r="F41" s="60" t="s">
        <v>815</v>
      </c>
      <c r="G41" s="60">
        <v>70</v>
      </c>
      <c r="H41" s="611"/>
      <c r="I41" s="611"/>
      <c r="M41" s="352"/>
    </row>
    <row r="42" spans="1:13" ht="19.5" customHeight="1" x14ac:dyDescent="0.25">
      <c r="A42" s="664" t="s">
        <v>827</v>
      </c>
      <c r="B42" s="246" t="s">
        <v>714</v>
      </c>
      <c r="C42" s="619">
        <v>0</v>
      </c>
      <c r="D42" s="309" t="s">
        <v>260</v>
      </c>
      <c r="F42" s="60" t="s">
        <v>819</v>
      </c>
      <c r="G42" s="519">
        <v>70</v>
      </c>
      <c r="H42" s="611"/>
      <c r="I42" s="611"/>
      <c r="M42" s="352"/>
    </row>
    <row r="43" spans="1:13" ht="19.5" customHeight="1" x14ac:dyDescent="0.25">
      <c r="A43" s="1602" t="s">
        <v>712</v>
      </c>
      <c r="B43" s="615" t="s">
        <v>715</v>
      </c>
      <c r="C43" s="612">
        <v>0</v>
      </c>
      <c r="D43" s="618" t="s">
        <v>491</v>
      </c>
      <c r="F43" s="519" t="s">
        <v>820</v>
      </c>
      <c r="G43" s="519">
        <v>60</v>
      </c>
      <c r="H43" s="611"/>
      <c r="I43" s="611"/>
      <c r="M43" s="352"/>
    </row>
    <row r="44" spans="1:13" ht="19.5" customHeight="1" x14ac:dyDescent="0.25">
      <c r="A44" s="1603"/>
      <c r="B44" s="616" t="s">
        <v>716</v>
      </c>
      <c r="C44" s="612">
        <v>0</v>
      </c>
      <c r="D44" s="309" t="s">
        <v>492</v>
      </c>
      <c r="F44" s="60" t="s">
        <v>48</v>
      </c>
      <c r="G44" s="519">
        <v>60</v>
      </c>
      <c r="H44" s="611"/>
      <c r="I44" s="611"/>
      <c r="M44" s="352"/>
    </row>
    <row r="45" spans="1:13" ht="19.5" customHeight="1" x14ac:dyDescent="0.25">
      <c r="A45" s="664" t="s">
        <v>827</v>
      </c>
      <c r="B45" s="617" t="s">
        <v>717</v>
      </c>
      <c r="C45" s="612">
        <v>0</v>
      </c>
      <c r="D45" s="309" t="s">
        <v>260</v>
      </c>
      <c r="F45" s="60" t="s">
        <v>821</v>
      </c>
      <c r="G45" s="60">
        <v>45</v>
      </c>
      <c r="H45" s="611"/>
      <c r="I45" s="611"/>
      <c r="M45" s="352"/>
    </row>
    <row r="46" spans="1:13" ht="19.5" customHeight="1" x14ac:dyDescent="0.25">
      <c r="A46" s="70"/>
      <c r="B46" s="112" t="s">
        <v>261</v>
      </c>
      <c r="C46" s="308">
        <f>(C40*C41*C42/100)+(C43*C44*C45/100)</f>
        <v>0</v>
      </c>
      <c r="D46" s="310" t="s">
        <v>4</v>
      </c>
      <c r="F46" s="519" t="s">
        <v>816</v>
      </c>
      <c r="G46" s="519">
        <v>30</v>
      </c>
      <c r="H46" s="611"/>
      <c r="I46" s="611"/>
      <c r="M46" s="352"/>
    </row>
    <row r="47" spans="1:13" ht="19.5" customHeight="1" x14ac:dyDescent="0.25">
      <c r="A47" s="306"/>
      <c r="B47" s="307" t="s">
        <v>136</v>
      </c>
      <c r="C47" s="308">
        <f>C39-C46</f>
        <v>180</v>
      </c>
      <c r="D47" s="311" t="s">
        <v>4</v>
      </c>
      <c r="F47" s="60" t="s">
        <v>1034</v>
      </c>
      <c r="G47" s="519">
        <v>30</v>
      </c>
      <c r="H47" s="611"/>
      <c r="I47" s="611"/>
      <c r="M47" s="352"/>
    </row>
    <row r="48" spans="1:13" ht="19.5" customHeight="1" x14ac:dyDescent="0.25">
      <c r="C48" s="8"/>
      <c r="E48" s="22"/>
      <c r="F48" s="60" t="s">
        <v>187</v>
      </c>
      <c r="G48" s="519">
        <v>30</v>
      </c>
      <c r="H48" s="611"/>
      <c r="I48" s="611"/>
      <c r="M48" s="352"/>
    </row>
    <row r="49" spans="1:13" ht="19.5" customHeight="1" x14ac:dyDescent="0.25">
      <c r="A49" s="36"/>
      <c r="B49" s="31"/>
      <c r="C49" s="312" t="s">
        <v>60</v>
      </c>
      <c r="D49" s="193"/>
      <c r="F49" s="60" t="s">
        <v>823</v>
      </c>
      <c r="G49" s="519">
        <v>30</v>
      </c>
      <c r="H49" s="611"/>
      <c r="I49" s="611"/>
      <c r="M49" s="352"/>
    </row>
    <row r="50" spans="1:13" ht="19.5" customHeight="1" x14ac:dyDescent="0.25">
      <c r="A50" s="26"/>
      <c r="B50" s="41" t="s">
        <v>127</v>
      </c>
      <c r="C50" s="335">
        <v>0.35</v>
      </c>
      <c r="D50" s="217" t="s">
        <v>138</v>
      </c>
      <c r="F50" s="60" t="s">
        <v>824</v>
      </c>
      <c r="G50" s="519">
        <v>30</v>
      </c>
      <c r="H50" s="611"/>
      <c r="I50" s="611"/>
    </row>
    <row r="51" spans="1:13" ht="19.5" customHeight="1" x14ac:dyDescent="0.25">
      <c r="A51" s="26"/>
      <c r="B51" s="32" t="s">
        <v>74</v>
      </c>
      <c r="C51" s="206">
        <f>C7*C50</f>
        <v>157.5</v>
      </c>
      <c r="D51" s="218" t="s">
        <v>76</v>
      </c>
      <c r="F51" s="60" t="s">
        <v>825</v>
      </c>
      <c r="G51" s="519">
        <v>30</v>
      </c>
    </row>
    <row r="52" spans="1:13" ht="19.5" customHeight="1" x14ac:dyDescent="0.25">
      <c r="A52" s="26"/>
      <c r="B52" s="32"/>
      <c r="C52" s="47"/>
      <c r="D52" s="194"/>
      <c r="F52" s="60" t="s">
        <v>180</v>
      </c>
      <c r="G52" s="519">
        <v>25</v>
      </c>
    </row>
    <row r="53" spans="1:13" ht="19.5" customHeight="1" x14ac:dyDescent="0.25">
      <c r="A53" s="26" t="s">
        <v>68</v>
      </c>
      <c r="B53" s="41" t="s">
        <v>72</v>
      </c>
      <c r="C53" s="187">
        <f>C35-C51</f>
        <v>32.662500000000023</v>
      </c>
      <c r="D53" s="202" t="str">
        <f>IF(C53&gt;50,"!!!",(IF(C53&gt;40,"!!",(IF(C53&gt;30,"!"," ")))))</f>
        <v>!</v>
      </c>
      <c r="F53" s="60" t="s">
        <v>817</v>
      </c>
      <c r="G53" s="519">
        <v>25</v>
      </c>
    </row>
    <row r="54" spans="1:13" ht="19.5" customHeight="1" x14ac:dyDescent="0.25">
      <c r="A54" s="26" t="s">
        <v>67</v>
      </c>
      <c r="B54" s="41" t="s">
        <v>72</v>
      </c>
      <c r="C54" s="187">
        <f>C17-C51</f>
        <v>22.5</v>
      </c>
      <c r="D54" s="202" t="str">
        <f>IF(C54&gt;50,"!!!",(IF(C54&gt;40,"!!",(IF(C54&gt;30,"!"," ")))))</f>
        <v xml:space="preserve"> </v>
      </c>
      <c r="F54" s="519" t="s">
        <v>818</v>
      </c>
      <c r="G54" s="519">
        <v>25</v>
      </c>
    </row>
    <row r="55" spans="1:13" ht="19.5" customHeight="1" x14ac:dyDescent="0.25">
      <c r="A55" s="184" t="s">
        <v>739</v>
      </c>
      <c r="B55" s="85"/>
      <c r="C55" s="188"/>
      <c r="D55" s="205"/>
      <c r="E55" s="1"/>
      <c r="F55" s="519" t="s">
        <v>826</v>
      </c>
      <c r="G55" s="519">
        <v>10</v>
      </c>
    </row>
    <row r="56" spans="1:13" ht="19.5" customHeight="1" x14ac:dyDescent="0.25">
      <c r="A56" s="81"/>
      <c r="B56" s="41"/>
      <c r="C56" s="42"/>
      <c r="D56" s="15"/>
      <c r="E56" s="1"/>
      <c r="F56" s="519" t="s">
        <v>181</v>
      </c>
      <c r="G56" s="519">
        <v>10</v>
      </c>
    </row>
    <row r="57" spans="1:13" ht="19.5" customHeight="1" x14ac:dyDescent="0.25">
      <c r="A57" s="81"/>
      <c r="B57" s="41"/>
      <c r="C57" s="42"/>
      <c r="D57" s="15"/>
      <c r="E57" s="1"/>
      <c r="F57" s="519" t="s">
        <v>188</v>
      </c>
      <c r="G57" s="519">
        <v>5</v>
      </c>
    </row>
    <row r="58" spans="1:13" ht="19.5" customHeight="1" x14ac:dyDescent="0.25">
      <c r="A58" s="81"/>
      <c r="B58" s="41"/>
      <c r="C58" s="42"/>
      <c r="D58" s="15"/>
      <c r="E58" s="1"/>
      <c r="F58" s="519" t="s">
        <v>182</v>
      </c>
      <c r="G58" s="519">
        <v>3</v>
      </c>
    </row>
    <row r="60" spans="1:13" ht="48" customHeight="1" x14ac:dyDescent="0.25">
      <c r="A60" s="273" t="s">
        <v>167</v>
      </c>
      <c r="B60" s="1628" t="s">
        <v>511</v>
      </c>
      <c r="C60" s="1702"/>
      <c r="D60" s="1702"/>
    </row>
    <row r="61" spans="1:13" ht="36.75" customHeight="1" x14ac:dyDescent="0.25">
      <c r="A61" s="18" t="s">
        <v>400</v>
      </c>
      <c r="B61" s="1628" t="s">
        <v>507</v>
      </c>
      <c r="C61" s="1702"/>
      <c r="D61" s="1702"/>
    </row>
    <row r="62" spans="1:13" ht="69.75" customHeight="1" x14ac:dyDescent="0.25">
      <c r="A62" s="18" t="s">
        <v>405</v>
      </c>
      <c r="B62" s="1628" t="s">
        <v>508</v>
      </c>
      <c r="C62" s="1702"/>
      <c r="D62" s="1702"/>
    </row>
    <row r="63" spans="1:13" ht="33" customHeight="1" x14ac:dyDescent="0.25">
      <c r="A63" s="714" t="s">
        <v>403</v>
      </c>
      <c r="B63" s="1628" t="s">
        <v>504</v>
      </c>
      <c r="C63" s="1629"/>
      <c r="D63" s="1629"/>
    </row>
    <row r="64" spans="1:13" x14ac:dyDescent="0.25">
      <c r="A64"/>
      <c r="B64" s="3"/>
    </row>
    <row r="65" spans="1:8" x14ac:dyDescent="0.25">
      <c r="A65"/>
      <c r="B65" s="8" t="s">
        <v>145</v>
      </c>
      <c r="C65" s="277" t="s">
        <v>139</v>
      </c>
      <c r="F65" s="3"/>
    </row>
    <row r="66" spans="1:8" x14ac:dyDescent="0.25">
      <c r="A66"/>
      <c r="C66" s="277" t="s">
        <v>505</v>
      </c>
      <c r="F66" s="3"/>
    </row>
    <row r="67" spans="1:8" x14ac:dyDescent="0.25">
      <c r="A67"/>
      <c r="C67" s="277" t="s">
        <v>509</v>
      </c>
      <c r="F67" s="3"/>
      <c r="H67"/>
    </row>
    <row r="68" spans="1:8" x14ac:dyDescent="0.25">
      <c r="A68" s="3" t="s">
        <v>33</v>
      </c>
      <c r="B68" s="8" t="s">
        <v>129</v>
      </c>
      <c r="C68" s="277" t="s">
        <v>132</v>
      </c>
      <c r="F68" s="3"/>
      <c r="H68"/>
    </row>
    <row r="69" spans="1:8" x14ac:dyDescent="0.25">
      <c r="A69" s="3">
        <v>150</v>
      </c>
      <c r="B69" s="8">
        <v>170</v>
      </c>
      <c r="C69" s="278">
        <f>A69*0.425+98</f>
        <v>161.75</v>
      </c>
      <c r="F69" s="3"/>
      <c r="H69"/>
    </row>
    <row r="70" spans="1:8" x14ac:dyDescent="0.25">
      <c r="A70" s="3">
        <v>250</v>
      </c>
      <c r="B70" s="8">
        <v>190</v>
      </c>
      <c r="C70" s="278">
        <f>A70*0.37+98.5</f>
        <v>191</v>
      </c>
      <c r="F70" s="3"/>
      <c r="H70"/>
    </row>
    <row r="71" spans="1:8" x14ac:dyDescent="0.25">
      <c r="A71" s="3">
        <v>350</v>
      </c>
      <c r="B71" s="8">
        <v>210</v>
      </c>
      <c r="C71" s="278">
        <f>A71*0.325+99</f>
        <v>212.75</v>
      </c>
      <c r="F71" s="3"/>
      <c r="H71"/>
    </row>
    <row r="72" spans="1:8" x14ac:dyDescent="0.25">
      <c r="A72" s="3">
        <v>450</v>
      </c>
      <c r="B72" s="8">
        <v>230</v>
      </c>
      <c r="C72" s="278">
        <f>A72*0.29+99.5</f>
        <v>230</v>
      </c>
      <c r="F72" s="3"/>
      <c r="H72"/>
    </row>
    <row r="73" spans="1:8" x14ac:dyDescent="0.25">
      <c r="A73" s="3">
        <v>550</v>
      </c>
      <c r="B73" s="8">
        <v>250</v>
      </c>
      <c r="C73" s="278">
        <f>A73*0.265+100</f>
        <v>245.75</v>
      </c>
      <c r="D73" s="3"/>
      <c r="E73" s="275"/>
      <c r="F73" s="3"/>
      <c r="H73"/>
    </row>
    <row r="74" spans="1:8" x14ac:dyDescent="0.25">
      <c r="A74" s="3"/>
      <c r="B74" s="3"/>
      <c r="D74" s="3"/>
      <c r="F74" s="3"/>
      <c r="H74"/>
    </row>
    <row r="75" spans="1:8" x14ac:dyDescent="0.25">
      <c r="A75" s="3"/>
      <c r="B75" s="3"/>
      <c r="D75" s="3"/>
      <c r="F75" s="3"/>
      <c r="H75"/>
    </row>
    <row r="76" spans="1:8" x14ac:dyDescent="0.25">
      <c r="A76"/>
      <c r="B76" s="3"/>
      <c r="D76" s="3"/>
      <c r="F76" s="3"/>
      <c r="H76"/>
    </row>
    <row r="77" spans="1:8" x14ac:dyDescent="0.25">
      <c r="A77"/>
      <c r="B77"/>
      <c r="D77" s="3"/>
      <c r="E77" s="3"/>
      <c r="F77" s="3"/>
      <c r="H77"/>
    </row>
    <row r="78" spans="1:8" x14ac:dyDescent="0.25">
      <c r="A78"/>
      <c r="B78"/>
      <c r="D78" s="3"/>
      <c r="E78" s="3"/>
      <c r="F78" s="3"/>
      <c r="G78" s="3"/>
      <c r="H78"/>
    </row>
    <row r="79" spans="1:8" x14ac:dyDescent="0.25">
      <c r="A79"/>
      <c r="B79"/>
      <c r="C79"/>
      <c r="F79" s="3"/>
      <c r="G79" s="3"/>
      <c r="H79"/>
    </row>
    <row r="80" spans="1:8" x14ac:dyDescent="0.25">
      <c r="A80"/>
      <c r="B80"/>
      <c r="C80"/>
      <c r="F80" s="3"/>
      <c r="G80" s="3"/>
    </row>
    <row r="81" spans="1:13" s="3" customFormat="1" x14ac:dyDescent="0.25">
      <c r="A81"/>
      <c r="B81"/>
      <c r="C81"/>
      <c r="D81"/>
      <c r="E81"/>
      <c r="I81"/>
      <c r="J81"/>
      <c r="K81"/>
      <c r="L81"/>
      <c r="M81"/>
    </row>
    <row r="82" spans="1:13" s="3" customFormat="1" x14ac:dyDescent="0.25">
      <c r="A82"/>
      <c r="B82"/>
      <c r="C82"/>
      <c r="D82"/>
      <c r="E82"/>
      <c r="I82"/>
      <c r="J82"/>
      <c r="K82"/>
      <c r="L82"/>
      <c r="M82"/>
    </row>
    <row r="83" spans="1:13" s="3" customFormat="1" x14ac:dyDescent="0.25">
      <c r="A83" s="32"/>
      <c r="B83" s="8"/>
      <c r="D83"/>
      <c r="G83"/>
      <c r="I83"/>
      <c r="J83"/>
      <c r="K83"/>
      <c r="L83"/>
      <c r="M83"/>
    </row>
    <row r="84" spans="1:13" s="3" customFormat="1" x14ac:dyDescent="0.25">
      <c r="A84" s="32"/>
      <c r="B84" s="8"/>
      <c r="D84"/>
      <c r="G84"/>
      <c r="I84"/>
      <c r="J84"/>
      <c r="K84"/>
      <c r="L84"/>
      <c r="M84"/>
    </row>
    <row r="85" spans="1:13" s="3" customFormat="1" x14ac:dyDescent="0.25">
      <c r="A85" s="32"/>
      <c r="B85" s="8"/>
      <c r="D85"/>
      <c r="G85"/>
      <c r="I85"/>
      <c r="J85"/>
      <c r="K85"/>
      <c r="L85"/>
      <c r="M85"/>
    </row>
    <row r="86" spans="1:13" s="3" customFormat="1" x14ac:dyDescent="0.25">
      <c r="A86" s="32"/>
      <c r="B86" s="8"/>
      <c r="D86"/>
      <c r="G86"/>
      <c r="I86"/>
      <c r="J86"/>
      <c r="K86"/>
      <c r="L86"/>
      <c r="M86"/>
    </row>
    <row r="87" spans="1:13" s="3" customFormat="1" x14ac:dyDescent="0.25">
      <c r="A87" s="32"/>
      <c r="B87" s="8"/>
      <c r="D87"/>
      <c r="G87"/>
      <c r="I87"/>
      <c r="J87"/>
      <c r="K87"/>
      <c r="L87"/>
      <c r="M87"/>
    </row>
    <row r="88" spans="1:13" s="3" customFormat="1" x14ac:dyDescent="0.25">
      <c r="A88" s="32"/>
      <c r="B88" s="8"/>
      <c r="D88"/>
      <c r="G88"/>
      <c r="I88"/>
      <c r="J88"/>
      <c r="K88"/>
      <c r="L88"/>
      <c r="M88"/>
    </row>
    <row r="89" spans="1:13" s="3" customFormat="1" x14ac:dyDescent="0.25">
      <c r="A89" s="32"/>
      <c r="B89" s="8"/>
      <c r="D89"/>
      <c r="F89"/>
      <c r="G89"/>
      <c r="I89"/>
      <c r="J89"/>
      <c r="K89"/>
      <c r="L89"/>
      <c r="M89"/>
    </row>
    <row r="90" spans="1:13" s="3" customFormat="1" x14ac:dyDescent="0.25">
      <c r="A90" s="32"/>
      <c r="B90" s="8"/>
      <c r="D90"/>
      <c r="F90"/>
      <c r="G90"/>
      <c r="I90"/>
      <c r="J90"/>
      <c r="K90"/>
      <c r="L90"/>
      <c r="M90"/>
    </row>
    <row r="91" spans="1:13" s="3" customFormat="1" x14ac:dyDescent="0.25">
      <c r="A91" s="32"/>
      <c r="B91" s="8"/>
      <c r="D91"/>
      <c r="F91"/>
      <c r="G91"/>
      <c r="I91"/>
      <c r="J91"/>
      <c r="K91"/>
      <c r="L91"/>
      <c r="M91"/>
    </row>
    <row r="92" spans="1:13" s="3" customFormat="1" x14ac:dyDescent="0.25">
      <c r="A92" s="32"/>
      <c r="B92" s="8"/>
      <c r="D92"/>
      <c r="F92"/>
      <c r="G92"/>
      <c r="I92"/>
      <c r="J92"/>
      <c r="K92"/>
      <c r="L92"/>
      <c r="M92"/>
    </row>
    <row r="93" spans="1:13" s="3" customFormat="1" x14ac:dyDescent="0.25">
      <c r="A93" s="32"/>
      <c r="B93" s="8"/>
      <c r="D93"/>
      <c r="F93"/>
      <c r="G93"/>
      <c r="I93"/>
      <c r="J93"/>
      <c r="K93"/>
      <c r="L93"/>
      <c r="M93"/>
    </row>
    <row r="94" spans="1:13" s="3" customFormat="1" x14ac:dyDescent="0.25">
      <c r="A94" s="32"/>
      <c r="B94" s="8"/>
      <c r="D94"/>
      <c r="F94"/>
      <c r="G94"/>
      <c r="I94"/>
      <c r="J94"/>
      <c r="K94"/>
      <c r="L94"/>
      <c r="M94"/>
    </row>
    <row r="95" spans="1:13" s="3" customFormat="1" x14ac:dyDescent="0.25">
      <c r="A95" s="32"/>
      <c r="B95" s="8"/>
      <c r="D95"/>
      <c r="F95"/>
      <c r="G95"/>
      <c r="I95"/>
      <c r="J95"/>
      <c r="K95"/>
      <c r="L95"/>
      <c r="M95"/>
    </row>
    <row r="96" spans="1:13" s="3" customFormat="1" x14ac:dyDescent="0.25">
      <c r="A96" s="32"/>
      <c r="B96" s="8"/>
      <c r="D96"/>
      <c r="F96"/>
      <c r="G96"/>
      <c r="I96"/>
      <c r="J96"/>
      <c r="K96"/>
      <c r="L96"/>
      <c r="M96"/>
    </row>
    <row r="97" spans="5:5" x14ac:dyDescent="0.25">
      <c r="E97" s="3"/>
    </row>
    <row r="98" spans="5:5" x14ac:dyDescent="0.25">
      <c r="E98" s="3"/>
    </row>
    <row r="99" spans="5:5" x14ac:dyDescent="0.25">
      <c r="E99" s="3"/>
    </row>
    <row r="100" spans="5:5" x14ac:dyDescent="0.25">
      <c r="E100" s="3"/>
    </row>
    <row r="101" spans="5:5" x14ac:dyDescent="0.25">
      <c r="E101" s="3"/>
    </row>
    <row r="102" spans="5:5" x14ac:dyDescent="0.25">
      <c r="E102" s="3"/>
    </row>
    <row r="103" spans="5:5" x14ac:dyDescent="0.25">
      <c r="E103" s="3"/>
    </row>
    <row r="104" spans="5:5" x14ac:dyDescent="0.25">
      <c r="E104" s="3"/>
    </row>
    <row r="105" spans="5:5" x14ac:dyDescent="0.25">
      <c r="E105" s="3"/>
    </row>
  </sheetData>
  <sheetProtection sheet="1" formatCells="0" formatColumns="0" formatRows="0" selectLockedCells="1"/>
  <mergeCells count="14">
    <mergeCell ref="B60:D60"/>
    <mergeCell ref="B61:D61"/>
    <mergeCell ref="B62:D62"/>
    <mergeCell ref="B63:D63"/>
    <mergeCell ref="A43:A44"/>
    <mergeCell ref="A28:B28"/>
    <mergeCell ref="A40:A41"/>
    <mergeCell ref="A5:D5"/>
    <mergeCell ref="A6:B6"/>
    <mergeCell ref="A19:B19"/>
    <mergeCell ref="A20:A24"/>
    <mergeCell ref="A25:A26"/>
    <mergeCell ref="B25:B26"/>
    <mergeCell ref="C25:D26"/>
  </mergeCells>
  <dataValidations disablePrompts="1" count="5">
    <dataValidation type="list" allowBlank="1" sqref="B13" xr:uid="{00000000-0002-0000-1E00-000000000000}">
      <formula1>$G$21:$G$31</formula1>
    </dataValidation>
    <dataValidation type="list" allowBlank="1" showInputMessage="1" showErrorMessage="1" sqref="B31" xr:uid="{00000000-0002-0000-1E00-000001000000}">
      <formula1>J21:J27</formula1>
    </dataValidation>
    <dataValidation type="list" allowBlank="1" sqref="B16" xr:uid="{00000000-0002-0000-1E00-000002000000}">
      <formula1>"bis 4 %, größer 4 %"</formula1>
    </dataValidation>
    <dataValidation type="list" allowBlank="1" sqref="J8:J9" xr:uid="{00000000-0002-0000-1E00-000003000000}">
      <formula1>"Humusgehalt"</formula1>
    </dataValidation>
    <dataValidation type="list" allowBlank="1" sqref="B14" xr:uid="{00000000-0002-0000-1E00-000004000000}">
      <formula1>Vorfrucht</formula1>
    </dataValidation>
  </dataValidations>
  <pageMargins left="0.7" right="0.7" top="0.78740157499999996" bottom="0.78740157499999996" header="0.3" footer="0.3"/>
  <pageSetup paperSize="9" scale="68" orientation="portrait" horizontalDpi="4294967293" verticalDpi="4294967293" r:id="rId1"/>
  <rowBreaks count="1" manualBreakCount="1">
    <brk id="59" max="3" man="1"/>
  </row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Tabelle41">
    <tabColor theme="0" tint="-4.9989318521683403E-2"/>
    <pageSetUpPr fitToPage="1"/>
  </sheetPr>
  <dimension ref="A1:V95"/>
  <sheetViews>
    <sheetView zoomScaleNormal="100" workbookViewId="0">
      <selection activeCell="I39" sqref="I39:J39"/>
    </sheetView>
  </sheetViews>
  <sheetFormatPr baseColWidth="10" defaultRowHeight="15" x14ac:dyDescent="0.25"/>
  <cols>
    <col min="1" max="1" width="7" style="32" customWidth="1"/>
    <col min="2" max="2" width="42.85546875" style="112" customWidth="1"/>
    <col min="3" max="3" width="8.28515625" style="112" customWidth="1"/>
    <col min="4" max="5" width="8.28515625" style="80" customWidth="1"/>
    <col min="6" max="9" width="8.28515625" style="15" customWidth="1"/>
    <col min="10" max="11" width="8.28515625" style="80" customWidth="1"/>
    <col min="12" max="14" width="8.28515625" style="15" customWidth="1"/>
    <col min="15" max="15" width="30.5703125" style="15" customWidth="1"/>
    <col min="16" max="16" width="4" style="15" customWidth="1"/>
    <col min="17" max="17" width="38" customWidth="1"/>
    <col min="18" max="18" width="27.28515625" customWidth="1"/>
    <col min="19" max="19" width="24" style="3" customWidth="1"/>
    <col min="20" max="20" width="17.7109375" customWidth="1"/>
    <col min="21" max="22" width="16" customWidth="1"/>
    <col min="23" max="23" width="20.42578125" customWidth="1"/>
    <col min="24" max="26" width="24.140625" customWidth="1"/>
  </cols>
  <sheetData>
    <row r="1" spans="1:19" x14ac:dyDescent="0.25">
      <c r="B1" s="112" t="str">
        <f>'DüV-N-Ackerbau (1)'!C1</f>
        <v>Testbetrieb</v>
      </c>
      <c r="C1" s="112" t="str">
        <f>'DüV-N-Ackerbau (1)'!F1</f>
        <v>Erntejahr</v>
      </c>
      <c r="O1" s="107" t="s">
        <v>36</v>
      </c>
      <c r="P1" s="1"/>
    </row>
    <row r="2" spans="1:19" x14ac:dyDescent="0.25">
      <c r="B2" s="112">
        <f>'DüV-N-Ackerbau (1)'!C2</f>
        <v>1</v>
      </c>
      <c r="C2" s="112">
        <f>'DüV-N-Ackerbau (1)'!G1</f>
        <v>2022</v>
      </c>
      <c r="O2" s="108" t="s">
        <v>34</v>
      </c>
      <c r="P2" s="1"/>
    </row>
    <row r="3" spans="1:19" x14ac:dyDescent="0.25">
      <c r="B3" s="112">
        <f>'DüV-N-Ackerbau (1)'!C3</f>
        <v>123456</v>
      </c>
      <c r="C3" s="41"/>
    </row>
    <row r="4" spans="1:19" ht="6.75" customHeight="1" thickBot="1" x14ac:dyDescent="0.3">
      <c r="C4" s="41"/>
    </row>
    <row r="5" spans="1:19" ht="16.5" thickBot="1" x14ac:dyDescent="0.3">
      <c r="B5" s="1704" t="s">
        <v>613</v>
      </c>
      <c r="C5" s="1705"/>
      <c r="D5" s="1705"/>
      <c r="E5" s="1705"/>
      <c r="F5" s="1705"/>
      <c r="G5" s="1705"/>
      <c r="H5" s="1705"/>
      <c r="I5" s="1705"/>
      <c r="J5" s="1705"/>
      <c r="K5" s="1705"/>
      <c r="L5" s="1705"/>
      <c r="M5" s="1705"/>
      <c r="N5" s="1665"/>
      <c r="O5" s="60"/>
      <c r="P5" s="60"/>
    </row>
    <row r="6" spans="1:19" ht="5.25" customHeight="1" thickBot="1" x14ac:dyDescent="0.3"/>
    <row r="7" spans="1:19" ht="18" customHeight="1" thickBot="1" x14ac:dyDescent="0.3">
      <c r="C7" s="1706" t="s">
        <v>196</v>
      </c>
      <c r="D7" s="1707"/>
      <c r="E7" s="1707"/>
      <c r="F7" s="1707"/>
      <c r="G7" s="1707"/>
      <c r="H7" s="1707"/>
      <c r="I7" s="1707"/>
      <c r="J7" s="1707"/>
      <c r="K7" s="1707"/>
      <c r="L7" s="1707"/>
      <c r="M7" s="1707"/>
      <c r="N7" s="1708"/>
    </row>
    <row r="8" spans="1:19" ht="5.25" customHeight="1" x14ac:dyDescent="0.25">
      <c r="J8" s="112"/>
      <c r="K8" s="112"/>
    </row>
    <row r="9" spans="1:19" ht="36" customHeight="1" x14ac:dyDescent="0.25">
      <c r="B9" s="146" t="s">
        <v>735</v>
      </c>
      <c r="C9" s="1709">
        <v>1</v>
      </c>
      <c r="D9" s="1709"/>
      <c r="E9" s="1709">
        <v>2</v>
      </c>
      <c r="F9" s="1709"/>
      <c r="G9" s="1709">
        <v>3</v>
      </c>
      <c r="H9" s="1709"/>
      <c r="I9" s="1709">
        <v>4</v>
      </c>
      <c r="J9" s="1709"/>
      <c r="K9" s="1709">
        <v>5</v>
      </c>
      <c r="L9" s="1709"/>
      <c r="M9" s="1709">
        <v>6</v>
      </c>
      <c r="N9" s="1709"/>
      <c r="O9" s="704" t="s">
        <v>735</v>
      </c>
      <c r="P9" s="118"/>
      <c r="R9" s="355" t="s">
        <v>79</v>
      </c>
      <c r="S9" s="355" t="s">
        <v>5</v>
      </c>
    </row>
    <row r="10" spans="1:19" ht="18.75" customHeight="1" x14ac:dyDescent="0.25">
      <c r="A10" s="120"/>
      <c r="B10" s="120" t="s">
        <v>239</v>
      </c>
      <c r="C10" s="1646">
        <v>40</v>
      </c>
      <c r="D10" s="1714"/>
      <c r="E10" s="1646">
        <v>55</v>
      </c>
      <c r="F10" s="1714"/>
      <c r="G10" s="1646">
        <v>80</v>
      </c>
      <c r="H10" s="1714"/>
      <c r="I10" s="1646">
        <v>90</v>
      </c>
      <c r="J10" s="1714"/>
      <c r="K10" s="1646">
        <v>110</v>
      </c>
      <c r="L10" s="1714"/>
      <c r="M10" s="1646">
        <v>120</v>
      </c>
      <c r="N10" s="1714"/>
      <c r="O10" s="121" t="s">
        <v>85</v>
      </c>
      <c r="P10" s="121"/>
      <c r="Q10" s="1710" t="s">
        <v>253</v>
      </c>
      <c r="R10" s="378" t="s">
        <v>86</v>
      </c>
      <c r="S10" s="354">
        <v>10</v>
      </c>
    </row>
    <row r="11" spans="1:19" ht="15" customHeight="1" x14ac:dyDescent="0.25">
      <c r="A11" s="41"/>
      <c r="B11" s="120" t="s">
        <v>73</v>
      </c>
      <c r="C11" s="1711">
        <v>8.6</v>
      </c>
      <c r="D11" s="1712"/>
      <c r="E11" s="1711">
        <v>11.4</v>
      </c>
      <c r="F11" s="1712"/>
      <c r="G11" s="1711">
        <v>15</v>
      </c>
      <c r="H11" s="1712"/>
      <c r="I11" s="1711">
        <v>17</v>
      </c>
      <c r="J11" s="1712"/>
      <c r="K11" s="1711">
        <v>17.5</v>
      </c>
      <c r="L11" s="1712"/>
      <c r="M11" s="1711">
        <v>18.2</v>
      </c>
      <c r="N11" s="1712"/>
      <c r="O11" s="121" t="s">
        <v>73</v>
      </c>
      <c r="P11" s="121"/>
      <c r="Q11" s="1678"/>
      <c r="R11" s="378" t="s">
        <v>87</v>
      </c>
      <c r="S11" s="354">
        <v>30</v>
      </c>
    </row>
    <row r="12" spans="1:19" ht="10.5" customHeight="1" x14ac:dyDescent="0.25">
      <c r="A12" s="120"/>
      <c r="B12" s="41"/>
      <c r="C12" s="127"/>
      <c r="D12" s="169"/>
      <c r="E12" s="170"/>
      <c r="F12" s="171"/>
      <c r="G12" s="172"/>
      <c r="H12" s="171"/>
      <c r="I12" s="172"/>
      <c r="J12" s="173"/>
      <c r="K12" s="174"/>
      <c r="L12" s="171"/>
      <c r="M12" s="172"/>
      <c r="N12" s="171"/>
      <c r="O12" s="118"/>
      <c r="P12" s="118"/>
      <c r="Q12" s="1678"/>
      <c r="R12" s="378" t="s">
        <v>238</v>
      </c>
      <c r="S12" s="354">
        <v>50</v>
      </c>
    </row>
    <row r="13" spans="1:19" ht="15" customHeight="1" x14ac:dyDescent="0.25">
      <c r="A13" s="41"/>
      <c r="B13" s="120" t="s">
        <v>263</v>
      </c>
      <c r="C13" s="1687">
        <f>C10*C11/6.25</f>
        <v>55.04</v>
      </c>
      <c r="D13" s="1713"/>
      <c r="E13" s="1687">
        <f>E10*E11/6.25</f>
        <v>100.32</v>
      </c>
      <c r="F13" s="1713"/>
      <c r="G13" s="1687">
        <f>G10*G11/6.25</f>
        <v>192</v>
      </c>
      <c r="H13" s="1713"/>
      <c r="I13" s="1687">
        <f>I10*I11/6.25</f>
        <v>244.8</v>
      </c>
      <c r="J13" s="1713"/>
      <c r="K13" s="1687">
        <f>K10*K11/6.25</f>
        <v>308</v>
      </c>
      <c r="L13" s="1713"/>
      <c r="M13" s="1687">
        <f>M10*M11/6.25</f>
        <v>349.44</v>
      </c>
      <c r="N13" s="1713"/>
      <c r="O13" s="118" t="s">
        <v>4</v>
      </c>
      <c r="P13" s="118"/>
      <c r="Q13" s="1678"/>
      <c r="R13" s="378" t="s">
        <v>80</v>
      </c>
      <c r="S13" s="354">
        <v>50</v>
      </c>
    </row>
    <row r="14" spans="1:19" ht="36" customHeight="1" x14ac:dyDescent="0.25">
      <c r="A14" s="41"/>
      <c r="B14" s="514" t="s">
        <v>647</v>
      </c>
      <c r="C14" s="1715">
        <f>C10*(0.25+0.43*C11/6.25-0.06*C11/6.25*C11/6.25)</f>
        <v>29.123097599999998</v>
      </c>
      <c r="D14" s="1716"/>
      <c r="E14" s="1715">
        <f t="shared" ref="E14" si="0">E10*(0.25+0.43*E11/6.25-0.06*E11/6.25*E11/6.25)</f>
        <v>45.908579200000005</v>
      </c>
      <c r="F14" s="1716"/>
      <c r="G14" s="1715">
        <f t="shared" ref="G14" si="1">G10*(0.25+0.43*G11/6.25-0.06*G11/6.25*G11/6.25)</f>
        <v>74.912000000000006</v>
      </c>
      <c r="H14" s="1716"/>
      <c r="I14" s="1715">
        <f t="shared" ref="I14" si="2">I10*(0.25+0.43*I11/6.25-0.06*I11/6.25*I11/6.25)</f>
        <v>87.812639999999988</v>
      </c>
      <c r="J14" s="1716"/>
      <c r="K14" s="1715">
        <f t="shared" ref="K14" si="3">K10*(0.25+0.43*K11/6.25-0.06*K11/6.25*K11/6.25)</f>
        <v>108.196</v>
      </c>
      <c r="L14" s="1716"/>
      <c r="M14" s="1715">
        <f t="shared" ref="M14" si="4">M10*(0.25+0.43*M11/6.25-0.06*M11/6.25*M11/6.25)</f>
        <v>119.20504320000001</v>
      </c>
      <c r="N14" s="1716"/>
      <c r="O14" s="536" t="s">
        <v>649</v>
      </c>
      <c r="P14" s="118"/>
      <c r="Q14" s="1678"/>
      <c r="R14" s="378" t="s">
        <v>81</v>
      </c>
      <c r="S14" s="354">
        <v>80</v>
      </c>
    </row>
    <row r="15" spans="1:19" ht="9" customHeight="1" x14ac:dyDescent="0.25">
      <c r="B15" s="41"/>
      <c r="C15" s="70"/>
      <c r="D15" s="27"/>
      <c r="E15" s="128"/>
      <c r="F15" s="71"/>
      <c r="G15" s="175"/>
      <c r="H15" s="71"/>
      <c r="I15" s="175"/>
      <c r="J15" s="27"/>
      <c r="K15" s="128"/>
      <c r="L15" s="71"/>
      <c r="M15" s="175"/>
      <c r="N15" s="71"/>
      <c r="Q15" s="1678"/>
    </row>
    <row r="16" spans="1:19" ht="28.5" customHeight="1" x14ac:dyDescent="0.25">
      <c r="A16" s="43"/>
      <c r="B16" s="41" t="s">
        <v>82</v>
      </c>
      <c r="C16" s="340" t="s">
        <v>86</v>
      </c>
      <c r="D16" s="27">
        <f>VLOOKUP(C16,R10:S14,2,FALSE)</f>
        <v>10</v>
      </c>
      <c r="E16" s="340" t="s">
        <v>86</v>
      </c>
      <c r="F16" s="27">
        <f>VLOOKUP(E16,R10:S14,2,FALSE)</f>
        <v>10</v>
      </c>
      <c r="G16" s="340" t="s">
        <v>86</v>
      </c>
      <c r="H16" s="27">
        <f>VLOOKUP(G16,R10:S14,2,FALSE)</f>
        <v>10</v>
      </c>
      <c r="I16" s="340" t="s">
        <v>86</v>
      </c>
      <c r="J16" s="27">
        <f>VLOOKUP(I16,R10:S14,2,FALSE)</f>
        <v>10</v>
      </c>
      <c r="K16" s="340" t="s">
        <v>86</v>
      </c>
      <c r="L16" s="27">
        <f>VLOOKUP(K16,R10:S14,2,FALSE)</f>
        <v>10</v>
      </c>
      <c r="M16" s="340" t="s">
        <v>86</v>
      </c>
      <c r="N16" s="27">
        <f>VLOOKUP(M16,R10:S14,2,FALSE)</f>
        <v>10</v>
      </c>
      <c r="O16" s="13" t="s">
        <v>4</v>
      </c>
      <c r="P16" s="13"/>
      <c r="Q16" s="1678"/>
      <c r="R16" s="355" t="s">
        <v>84</v>
      </c>
      <c r="S16" s="354"/>
    </row>
    <row r="17" spans="2:19" ht="10.5" customHeight="1" x14ac:dyDescent="0.25">
      <c r="B17" s="41"/>
      <c r="C17" s="127"/>
      <c r="D17" s="27"/>
      <c r="E17" s="128"/>
      <c r="F17" s="27"/>
      <c r="G17" s="128"/>
      <c r="H17" s="27"/>
      <c r="I17" s="128"/>
      <c r="J17" s="27"/>
      <c r="K17" s="128"/>
      <c r="L17" s="27"/>
      <c r="M17" s="128"/>
      <c r="N17" s="27"/>
      <c r="O17" s="13"/>
      <c r="P17" s="13"/>
      <c r="Q17" s="1678"/>
      <c r="R17" s="378" t="s">
        <v>90</v>
      </c>
      <c r="S17" s="354">
        <v>0</v>
      </c>
    </row>
    <row r="18" spans="2:19" ht="39" customHeight="1" x14ac:dyDescent="0.25">
      <c r="B18" s="41" t="s">
        <v>83</v>
      </c>
      <c r="C18" s="340" t="s">
        <v>233</v>
      </c>
      <c r="D18" s="27">
        <f>VLOOKUP(C18,$R17:$S20,2,FALSE)</f>
        <v>60</v>
      </c>
      <c r="E18" s="340" t="s">
        <v>89</v>
      </c>
      <c r="F18" s="27">
        <f>VLOOKUP(E18,$R17:$S20,2,FALSE)</f>
        <v>40</v>
      </c>
      <c r="G18" s="340" t="s">
        <v>88</v>
      </c>
      <c r="H18" s="27">
        <f>VLOOKUP(G18,$R17:$S20,2,FALSE)</f>
        <v>20</v>
      </c>
      <c r="I18" s="340" t="s">
        <v>90</v>
      </c>
      <c r="J18" s="27">
        <f>VLOOKUP(I18,$R17:$S20,2,FALSE)</f>
        <v>0</v>
      </c>
      <c r="K18" s="340" t="s">
        <v>90</v>
      </c>
      <c r="L18" s="27">
        <f>VLOOKUP(K18,$R17:$S20,2,FALSE)</f>
        <v>0</v>
      </c>
      <c r="M18" s="340" t="s">
        <v>90</v>
      </c>
      <c r="N18" s="27">
        <f>VLOOKUP(M18,$R17:$S20,2,FALSE)</f>
        <v>0</v>
      </c>
      <c r="O18" s="13" t="s">
        <v>4</v>
      </c>
      <c r="P18" s="13"/>
      <c r="Q18" s="1678"/>
      <c r="R18" s="378" t="s">
        <v>88</v>
      </c>
      <c r="S18" s="354">
        <v>20</v>
      </c>
    </row>
    <row r="19" spans="2:19" ht="12" customHeight="1" x14ac:dyDescent="0.25">
      <c r="B19" s="41"/>
      <c r="C19" s="127"/>
      <c r="D19" s="27"/>
      <c r="E19" s="128"/>
      <c r="F19" s="71"/>
      <c r="G19" s="175"/>
      <c r="H19" s="71"/>
      <c r="I19" s="175"/>
      <c r="J19" s="27"/>
      <c r="K19" s="128"/>
      <c r="L19" s="71"/>
      <c r="M19" s="175"/>
      <c r="N19" s="71"/>
      <c r="O19" s="13"/>
      <c r="P19" s="13"/>
      <c r="Q19" s="1678"/>
      <c r="R19" s="378" t="s">
        <v>89</v>
      </c>
      <c r="S19" s="354">
        <v>40</v>
      </c>
    </row>
    <row r="20" spans="2:19" ht="15.75" customHeight="1" x14ac:dyDescent="0.25">
      <c r="B20" s="41" t="s">
        <v>91</v>
      </c>
      <c r="C20" s="1718">
        <v>0</v>
      </c>
      <c r="D20" s="1719"/>
      <c r="E20" s="1718">
        <v>0</v>
      </c>
      <c r="F20" s="1719"/>
      <c r="G20" s="1718">
        <v>0</v>
      </c>
      <c r="H20" s="1719"/>
      <c r="I20" s="1718">
        <v>0</v>
      </c>
      <c r="J20" s="1719"/>
      <c r="K20" s="1718">
        <v>0</v>
      </c>
      <c r="L20" s="1719"/>
      <c r="M20" s="1718">
        <v>0</v>
      </c>
      <c r="N20" s="1719"/>
      <c r="O20" s="13" t="s">
        <v>216</v>
      </c>
      <c r="P20" s="13"/>
      <c r="Q20" s="1678"/>
      <c r="R20" s="378" t="s">
        <v>233</v>
      </c>
      <c r="S20" s="354">
        <v>60</v>
      </c>
    </row>
    <row r="21" spans="2:19" x14ac:dyDescent="0.25">
      <c r="B21" s="41"/>
      <c r="C21" s="127"/>
      <c r="D21" s="27"/>
      <c r="E21" s="128"/>
      <c r="F21" s="71"/>
      <c r="G21" s="175"/>
      <c r="H21" s="71"/>
      <c r="I21" s="175"/>
      <c r="J21" s="27"/>
      <c r="K21" s="128"/>
      <c r="L21" s="71"/>
      <c r="M21" s="175"/>
      <c r="N21" s="71"/>
      <c r="Q21" s="1678"/>
    </row>
    <row r="22" spans="2:19" ht="15" customHeight="1" x14ac:dyDescent="0.25">
      <c r="B22" s="141" t="s">
        <v>475</v>
      </c>
      <c r="C22" s="1717">
        <f>IF(C13-D16-D18-C20&lt;0,0,C13-D16-D18-C20)</f>
        <v>0</v>
      </c>
      <c r="D22" s="1717"/>
      <c r="E22" s="1717">
        <f t="shared" ref="E22" si="5">IF(E13-F16-F18-E20&lt;0,0,E13-F16-F18-E20)</f>
        <v>50.319999999999993</v>
      </c>
      <c r="F22" s="1717"/>
      <c r="G22" s="1717">
        <f t="shared" ref="G22" si="6">IF(G13-H16-H18-G20&lt;0,0,G13-H16-H18-G20)</f>
        <v>162</v>
      </c>
      <c r="H22" s="1717"/>
      <c r="I22" s="1717">
        <f t="shared" ref="I22" si="7">IF(I13-J16-J18-I20&lt;0,0,I13-J16-J18-I20)</f>
        <v>234.8</v>
      </c>
      <c r="J22" s="1717"/>
      <c r="K22" s="1717">
        <f t="shared" ref="K22" si="8">IF(K13-L16-L18-K20&lt;0,0,K13-L16-L18-K20)</f>
        <v>298</v>
      </c>
      <c r="L22" s="1717"/>
      <c r="M22" s="1717">
        <f t="shared" ref="M22" si="9">IF(M13-N16-N18-M20&lt;0,0,M13-N16-N18-M20)</f>
        <v>339.44</v>
      </c>
      <c r="N22" s="1717"/>
      <c r="O22" s="15" t="s">
        <v>477</v>
      </c>
      <c r="P22" s="13"/>
      <c r="Q22" s="1678"/>
      <c r="R22" s="353"/>
      <c r="S22" s="354"/>
    </row>
    <row r="23" spans="2:19" ht="9" customHeight="1" x14ac:dyDescent="0.25">
      <c r="B23" s="41"/>
      <c r="Q23" s="1678"/>
    </row>
    <row r="24" spans="2:19" ht="18" customHeight="1" x14ac:dyDescent="0.25">
      <c r="B24" s="41" t="s">
        <v>189</v>
      </c>
      <c r="C24" s="1720"/>
      <c r="D24" s="1720"/>
      <c r="E24" s="1721"/>
      <c r="F24" s="1721"/>
      <c r="G24" s="1721"/>
      <c r="H24" s="1721"/>
      <c r="I24" s="1721"/>
      <c r="J24" s="1721"/>
      <c r="K24" s="1721"/>
      <c r="L24" s="1721"/>
      <c r="M24" s="1721"/>
      <c r="N24" s="1721"/>
      <c r="Q24" s="1678"/>
    </row>
    <row r="25" spans="2:19" ht="18" customHeight="1" x14ac:dyDescent="0.25">
      <c r="B25" s="41" t="s">
        <v>190</v>
      </c>
      <c r="C25" s="1720"/>
      <c r="D25" s="1720"/>
      <c r="E25" s="1721"/>
      <c r="F25" s="1721"/>
      <c r="G25" s="1721"/>
      <c r="H25" s="1721"/>
      <c r="I25" s="1721"/>
      <c r="J25" s="1721"/>
      <c r="K25" s="1721"/>
      <c r="L25" s="1721"/>
      <c r="M25" s="1721"/>
      <c r="N25" s="1721"/>
    </row>
    <row r="26" spans="2:19" ht="18" customHeight="1" x14ac:dyDescent="0.25">
      <c r="B26" s="41" t="s">
        <v>191</v>
      </c>
      <c r="C26" s="1720"/>
      <c r="D26" s="1720"/>
      <c r="E26" s="1721"/>
      <c r="F26" s="1721"/>
      <c r="G26" s="1721"/>
      <c r="H26" s="1721"/>
      <c r="I26" s="1721"/>
      <c r="J26" s="1721"/>
      <c r="K26" s="1721"/>
      <c r="L26" s="1721"/>
      <c r="M26" s="1721"/>
      <c r="N26" s="1721"/>
      <c r="Q26" s="4"/>
      <c r="R26" s="1"/>
    </row>
    <row r="27" spans="2:19" ht="18" customHeight="1" x14ac:dyDescent="0.25">
      <c r="B27" s="41" t="s">
        <v>193</v>
      </c>
      <c r="C27" s="1720"/>
      <c r="D27" s="1720"/>
      <c r="E27" s="1721"/>
      <c r="F27" s="1721"/>
      <c r="G27" s="1721"/>
      <c r="H27" s="1721"/>
      <c r="I27" s="1721"/>
      <c r="J27" s="1721"/>
      <c r="K27" s="1721"/>
      <c r="L27" s="1721"/>
      <c r="M27" s="1721"/>
      <c r="N27" s="1721"/>
    </row>
    <row r="28" spans="2:19" ht="18" customHeight="1" x14ac:dyDescent="0.25">
      <c r="B28" s="41" t="s">
        <v>194</v>
      </c>
      <c r="C28" s="1722"/>
      <c r="D28" s="1723"/>
      <c r="E28" s="1721"/>
      <c r="F28" s="1721"/>
      <c r="G28" s="1721"/>
      <c r="H28" s="1721"/>
      <c r="I28" s="1721"/>
      <c r="J28" s="1721"/>
      <c r="K28" s="1721"/>
      <c r="L28" s="1721"/>
      <c r="M28" s="1721"/>
      <c r="N28" s="1721"/>
    </row>
    <row r="29" spans="2:19" ht="18" customHeight="1" x14ac:dyDescent="0.25">
      <c r="B29" s="41" t="s">
        <v>192</v>
      </c>
      <c r="C29" s="1720"/>
      <c r="D29" s="1720"/>
      <c r="E29" s="1721"/>
      <c r="F29" s="1721"/>
      <c r="G29" s="1721"/>
      <c r="H29" s="1721"/>
      <c r="I29" s="1721"/>
      <c r="J29" s="1721"/>
      <c r="K29" s="1721"/>
      <c r="L29" s="1721"/>
      <c r="M29" s="1721"/>
      <c r="N29" s="1721"/>
    </row>
    <row r="30" spans="2:19" ht="18" customHeight="1" x14ac:dyDescent="0.25">
      <c r="B30" s="41" t="s">
        <v>195</v>
      </c>
      <c r="C30" s="1720"/>
      <c r="D30" s="1720"/>
      <c r="E30" s="1721"/>
      <c r="F30" s="1721"/>
      <c r="G30" s="1721"/>
      <c r="H30" s="1721"/>
      <c r="I30" s="1721"/>
      <c r="J30" s="1721"/>
      <c r="K30" s="1721"/>
      <c r="L30" s="1721"/>
      <c r="M30" s="1721"/>
      <c r="N30" s="1721"/>
    </row>
    <row r="31" spans="2:19" ht="18" customHeight="1" x14ac:dyDescent="0.25">
      <c r="B31" s="41" t="s">
        <v>217</v>
      </c>
      <c r="C31" s="1720"/>
      <c r="D31" s="1720"/>
      <c r="E31" s="1721"/>
      <c r="F31" s="1721"/>
      <c r="G31" s="1721"/>
      <c r="H31" s="1721"/>
      <c r="I31" s="1721"/>
      <c r="J31" s="1721"/>
      <c r="K31" s="1721"/>
      <c r="L31" s="1721"/>
      <c r="M31" s="1721"/>
      <c r="N31" s="1721"/>
    </row>
    <row r="32" spans="2:19" ht="11.25" customHeight="1" x14ac:dyDescent="0.25"/>
    <row r="33" spans="1:19" ht="30" customHeight="1" x14ac:dyDescent="0.25">
      <c r="B33" s="142"/>
      <c r="C33" s="1453" t="s">
        <v>729</v>
      </c>
      <c r="D33" s="1674"/>
      <c r="E33" s="1454"/>
      <c r="F33" s="1454"/>
      <c r="G33" s="1454"/>
      <c r="H33" s="1454"/>
      <c r="I33" s="1454"/>
      <c r="J33" s="1454"/>
      <c r="K33" s="1454"/>
      <c r="L33" s="1454"/>
      <c r="M33" s="1454"/>
      <c r="N33" s="1455"/>
      <c r="O33" s="133"/>
      <c r="P33" s="220"/>
      <c r="Q33" s="519" t="s">
        <v>183</v>
      </c>
      <c r="R33" s="122" t="s">
        <v>186</v>
      </c>
      <c r="S33" s="611"/>
    </row>
    <row r="34" spans="1:19" ht="18.75" customHeight="1" x14ac:dyDescent="0.25">
      <c r="A34" s="114"/>
      <c r="B34" s="143" t="s">
        <v>42</v>
      </c>
      <c r="C34" s="1717">
        <f>C22</f>
        <v>0</v>
      </c>
      <c r="D34" s="1717"/>
      <c r="E34" s="1717">
        <f>E22</f>
        <v>50.319999999999993</v>
      </c>
      <c r="F34" s="1717"/>
      <c r="G34" s="1717">
        <f>G22</f>
        <v>162</v>
      </c>
      <c r="H34" s="1717"/>
      <c r="I34" s="1717">
        <f>I22</f>
        <v>234.8</v>
      </c>
      <c r="J34" s="1717"/>
      <c r="K34" s="1717">
        <f>K22</f>
        <v>298</v>
      </c>
      <c r="L34" s="1717"/>
      <c r="M34" s="1717">
        <f>M22</f>
        <v>339.44</v>
      </c>
      <c r="N34" s="1717"/>
      <c r="O34" s="134" t="s">
        <v>4</v>
      </c>
      <c r="P34" s="221"/>
      <c r="Q34" s="60" t="s">
        <v>179</v>
      </c>
      <c r="R34" s="60">
        <v>90</v>
      </c>
      <c r="S34" s="611"/>
    </row>
    <row r="35" spans="1:19" ht="18" customHeight="1" x14ac:dyDescent="0.25">
      <c r="A35" s="112"/>
      <c r="B35" s="625" t="s">
        <v>732</v>
      </c>
      <c r="C35" s="1724"/>
      <c r="D35" s="1725"/>
      <c r="E35" s="1724"/>
      <c r="F35" s="1725"/>
      <c r="G35" s="1724"/>
      <c r="H35" s="1725"/>
      <c r="I35" s="1724"/>
      <c r="J35" s="1725"/>
      <c r="K35" s="1724"/>
      <c r="L35" s="1725"/>
      <c r="M35" s="1724"/>
      <c r="N35" s="1725"/>
      <c r="O35" s="624"/>
      <c r="P35" s="221"/>
      <c r="Q35" s="60" t="s">
        <v>819</v>
      </c>
      <c r="R35" s="519">
        <v>70</v>
      </c>
      <c r="S35" s="611" t="s">
        <v>1243</v>
      </c>
    </row>
    <row r="36" spans="1:19" ht="15" customHeight="1" x14ac:dyDescent="0.25">
      <c r="A36" s="112"/>
      <c r="B36" s="626" t="s">
        <v>257</v>
      </c>
      <c r="C36" s="1726">
        <v>0</v>
      </c>
      <c r="D36" s="1727"/>
      <c r="E36" s="1726">
        <v>0</v>
      </c>
      <c r="F36" s="1727"/>
      <c r="G36" s="1726">
        <v>0</v>
      </c>
      <c r="H36" s="1727"/>
      <c r="I36" s="1726">
        <v>0</v>
      </c>
      <c r="J36" s="1727"/>
      <c r="K36" s="1726">
        <v>0</v>
      </c>
      <c r="L36" s="1727"/>
      <c r="M36" s="1726">
        <v>0</v>
      </c>
      <c r="N36" s="1727"/>
      <c r="O36" s="138" t="s">
        <v>491</v>
      </c>
      <c r="P36" s="13"/>
      <c r="Q36" s="519" t="s">
        <v>820</v>
      </c>
      <c r="R36" s="519">
        <v>60</v>
      </c>
      <c r="S36" s="611" t="s">
        <v>1244</v>
      </c>
    </row>
    <row r="37" spans="1:19" ht="15" customHeight="1" x14ac:dyDescent="0.25">
      <c r="A37" s="112"/>
      <c r="B37" s="144" t="s">
        <v>258</v>
      </c>
      <c r="C37" s="1726">
        <v>0</v>
      </c>
      <c r="D37" s="1727"/>
      <c r="E37" s="1726">
        <v>0</v>
      </c>
      <c r="F37" s="1727"/>
      <c r="G37" s="1726">
        <v>0</v>
      </c>
      <c r="H37" s="1727"/>
      <c r="I37" s="1726">
        <v>0</v>
      </c>
      <c r="J37" s="1727"/>
      <c r="K37" s="1726">
        <v>0</v>
      </c>
      <c r="L37" s="1727"/>
      <c r="M37" s="1726">
        <v>0</v>
      </c>
      <c r="N37" s="1727"/>
      <c r="O37" s="139" t="s">
        <v>492</v>
      </c>
      <c r="P37" s="222"/>
      <c r="Q37" s="60" t="s">
        <v>48</v>
      </c>
      <c r="R37" s="519">
        <v>60</v>
      </c>
      <c r="S37" s="611"/>
    </row>
    <row r="38" spans="1:19" ht="15" customHeight="1" x14ac:dyDescent="0.25">
      <c r="B38" s="144" t="s">
        <v>259</v>
      </c>
      <c r="C38" s="1726">
        <v>0</v>
      </c>
      <c r="D38" s="1727"/>
      <c r="E38" s="1726">
        <v>0</v>
      </c>
      <c r="F38" s="1727"/>
      <c r="G38" s="1726">
        <v>0</v>
      </c>
      <c r="H38" s="1727"/>
      <c r="I38" s="1726">
        <v>0</v>
      </c>
      <c r="J38" s="1727"/>
      <c r="K38" s="1726">
        <v>0</v>
      </c>
      <c r="L38" s="1727"/>
      <c r="M38" s="1726">
        <v>0</v>
      </c>
      <c r="N38" s="1727"/>
      <c r="O38" s="139" t="s">
        <v>260</v>
      </c>
      <c r="P38" s="222"/>
      <c r="Q38" s="60" t="s">
        <v>821</v>
      </c>
      <c r="R38" s="60">
        <v>45</v>
      </c>
      <c r="S38" s="611"/>
    </row>
    <row r="39" spans="1:19" ht="17.25" customHeight="1" x14ac:dyDescent="0.25">
      <c r="A39" s="41"/>
      <c r="B39" s="625" t="s">
        <v>731</v>
      </c>
      <c r="C39" s="1724"/>
      <c r="D39" s="1725"/>
      <c r="E39" s="1724"/>
      <c r="F39" s="1725"/>
      <c r="G39" s="1724"/>
      <c r="H39" s="1725"/>
      <c r="I39" s="1724"/>
      <c r="J39" s="1725"/>
      <c r="K39" s="1724"/>
      <c r="L39" s="1725"/>
      <c r="M39" s="1724"/>
      <c r="N39" s="1725"/>
      <c r="O39" s="623"/>
      <c r="P39" s="222"/>
      <c r="Q39" s="519" t="s">
        <v>816</v>
      </c>
      <c r="R39" s="519">
        <v>30</v>
      </c>
      <c r="S39" s="611"/>
    </row>
    <row r="40" spans="1:19" ht="16.5" customHeight="1" x14ac:dyDescent="0.25">
      <c r="A40" s="41"/>
      <c r="B40" s="626" t="s">
        <v>257</v>
      </c>
      <c r="C40" s="1726">
        <v>0</v>
      </c>
      <c r="D40" s="1727"/>
      <c r="E40" s="1726">
        <v>0</v>
      </c>
      <c r="F40" s="1727"/>
      <c r="G40" s="1726">
        <v>0</v>
      </c>
      <c r="H40" s="1727"/>
      <c r="I40" s="1726">
        <v>0</v>
      </c>
      <c r="J40" s="1727"/>
      <c r="K40" s="1726">
        <v>0</v>
      </c>
      <c r="L40" s="1727"/>
      <c r="M40" s="1726">
        <v>0</v>
      </c>
      <c r="N40" s="1727"/>
      <c r="O40" s="138" t="s">
        <v>491</v>
      </c>
      <c r="P40" s="222"/>
      <c r="Q40" s="60" t="s">
        <v>1034</v>
      </c>
      <c r="R40" s="519">
        <v>30</v>
      </c>
      <c r="S40" s="611"/>
    </row>
    <row r="41" spans="1:19" ht="15" customHeight="1" x14ac:dyDescent="0.25">
      <c r="A41" s="41"/>
      <c r="B41" s="144" t="s">
        <v>258</v>
      </c>
      <c r="C41" s="1726">
        <v>0</v>
      </c>
      <c r="D41" s="1727"/>
      <c r="E41" s="1726">
        <v>0</v>
      </c>
      <c r="F41" s="1727"/>
      <c r="G41" s="1726">
        <v>0</v>
      </c>
      <c r="H41" s="1727"/>
      <c r="I41" s="1726">
        <v>0</v>
      </c>
      <c r="J41" s="1727"/>
      <c r="K41" s="1726">
        <v>0</v>
      </c>
      <c r="L41" s="1727"/>
      <c r="M41" s="1726">
        <v>0</v>
      </c>
      <c r="N41" s="1727"/>
      <c r="O41" s="139" t="s">
        <v>492</v>
      </c>
      <c r="P41" s="222"/>
      <c r="Q41" s="60" t="s">
        <v>825</v>
      </c>
      <c r="R41" s="519">
        <v>30</v>
      </c>
      <c r="S41" s="611"/>
    </row>
    <row r="42" spans="1:19" ht="18" customHeight="1" x14ac:dyDescent="0.25">
      <c r="A42" s="41"/>
      <c r="B42" s="144" t="s">
        <v>259</v>
      </c>
      <c r="C42" s="1726">
        <v>0</v>
      </c>
      <c r="D42" s="1727"/>
      <c r="E42" s="1726">
        <v>0</v>
      </c>
      <c r="F42" s="1727"/>
      <c r="G42" s="1726">
        <v>0</v>
      </c>
      <c r="H42" s="1727"/>
      <c r="I42" s="1726">
        <v>0</v>
      </c>
      <c r="J42" s="1727"/>
      <c r="K42" s="1726">
        <v>0</v>
      </c>
      <c r="L42" s="1727"/>
      <c r="M42" s="1726">
        <v>0</v>
      </c>
      <c r="N42" s="1727"/>
      <c r="O42" s="139" t="s">
        <v>260</v>
      </c>
      <c r="P42" s="222"/>
      <c r="Q42" s="60" t="s">
        <v>817</v>
      </c>
      <c r="R42" s="519">
        <v>25</v>
      </c>
      <c r="S42" s="611"/>
    </row>
    <row r="43" spans="1:19" ht="18" customHeight="1" x14ac:dyDescent="0.25">
      <c r="A43" s="41"/>
      <c r="B43" s="144" t="s">
        <v>736</v>
      </c>
      <c r="C43" s="1728">
        <f>(C36*C37*C38/100)+(C40*C41*C42/100)</f>
        <v>0</v>
      </c>
      <c r="D43" s="1728"/>
      <c r="E43" s="1728">
        <f t="shared" ref="E43" si="10">(E36*E37*E38/100)+(E40*E41*E42/100)</f>
        <v>0</v>
      </c>
      <c r="F43" s="1728"/>
      <c r="G43" s="1728">
        <f t="shared" ref="G43" si="11">(G36*G37*G38/100)+(G40*G41*G42/100)</f>
        <v>0</v>
      </c>
      <c r="H43" s="1728"/>
      <c r="I43" s="1728">
        <f t="shared" ref="I43" si="12">(I36*I37*I38/100)+(I40*I41*I42/100)</f>
        <v>0</v>
      </c>
      <c r="J43" s="1728"/>
      <c r="K43" s="1728">
        <f t="shared" ref="K43" si="13">(K36*K37*K38/100)+(K40*K41*K42/100)</f>
        <v>0</v>
      </c>
      <c r="L43" s="1728"/>
      <c r="M43" s="1728">
        <f t="shared" ref="M43" si="14">(M36*M37*M38/100)+(M40*M41*M42/100)</f>
        <v>0</v>
      </c>
      <c r="N43" s="1728"/>
      <c r="O43" s="135" t="s">
        <v>4</v>
      </c>
      <c r="P43" s="137"/>
      <c r="Q43" s="519" t="s">
        <v>818</v>
      </c>
      <c r="R43" s="519">
        <v>25</v>
      </c>
      <c r="S43" s="611"/>
    </row>
    <row r="44" spans="1:19" ht="18" customHeight="1" x14ac:dyDescent="0.25">
      <c r="A44" s="41"/>
      <c r="B44" s="627" t="s">
        <v>136</v>
      </c>
      <c r="C44" s="1645">
        <f>C34-C43</f>
        <v>0</v>
      </c>
      <c r="D44" s="1645"/>
      <c r="E44" s="1645">
        <f>E34-E43</f>
        <v>50.319999999999993</v>
      </c>
      <c r="F44" s="1645"/>
      <c r="G44" s="1645">
        <f>G34-G43</f>
        <v>162</v>
      </c>
      <c r="H44" s="1645"/>
      <c r="I44" s="1645">
        <f>I34-I43</f>
        <v>234.8</v>
      </c>
      <c r="J44" s="1645"/>
      <c r="K44" s="1645">
        <f>K34-K43</f>
        <v>298</v>
      </c>
      <c r="L44" s="1645"/>
      <c r="M44" s="1645">
        <f>M34-M43</f>
        <v>339.44</v>
      </c>
      <c r="N44" s="1645"/>
      <c r="O44" s="136" t="s">
        <v>4</v>
      </c>
      <c r="P44" s="137"/>
      <c r="Q44" s="519" t="s">
        <v>826</v>
      </c>
      <c r="R44" s="519">
        <v>10</v>
      </c>
      <c r="S44" s="611"/>
    </row>
    <row r="45" spans="1:19" ht="18" customHeight="1" x14ac:dyDescent="0.25">
      <c r="A45" s="41"/>
      <c r="B45" s="60"/>
      <c r="C45" s="83"/>
      <c r="D45" s="83"/>
      <c r="E45" s="83"/>
      <c r="F45" s="83"/>
      <c r="G45" s="83"/>
      <c r="H45" s="83"/>
      <c r="I45" s="83"/>
      <c r="J45" s="83"/>
      <c r="K45" s="83"/>
      <c r="L45" s="83"/>
      <c r="M45" s="83"/>
      <c r="N45" s="83"/>
      <c r="O45" s="137"/>
      <c r="P45" s="137"/>
      <c r="Q45" s="519" t="s">
        <v>181</v>
      </c>
      <c r="R45" s="519">
        <v>10</v>
      </c>
      <c r="S45" s="611"/>
    </row>
    <row r="46" spans="1:19" ht="18" customHeight="1" x14ac:dyDescent="0.25">
      <c r="A46" s="112"/>
      <c r="B46" s="302"/>
      <c r="C46" s="176" t="s">
        <v>199</v>
      </c>
      <c r="D46" s="111"/>
      <c r="E46" s="111"/>
      <c r="F46" s="177"/>
      <c r="G46" s="177"/>
      <c r="H46" s="177"/>
      <c r="I46" s="177"/>
      <c r="J46" s="111"/>
      <c r="K46" s="111"/>
      <c r="L46" s="177"/>
      <c r="M46" s="177"/>
      <c r="N46" s="69"/>
      <c r="O46" s="137"/>
    </row>
    <row r="47" spans="1:19" ht="18" customHeight="1" x14ac:dyDescent="0.25">
      <c r="A47" s="112"/>
      <c r="B47" s="127"/>
      <c r="C47" s="41" t="s">
        <v>200</v>
      </c>
      <c r="D47" s="112">
        <v>1</v>
      </c>
      <c r="E47" s="112">
        <v>2</v>
      </c>
      <c r="F47" s="112">
        <v>3</v>
      </c>
      <c r="G47" s="112">
        <v>4</v>
      </c>
      <c r="H47" s="112">
        <v>5</v>
      </c>
      <c r="I47" s="112">
        <v>6</v>
      </c>
      <c r="J47" s="1293" t="s">
        <v>202</v>
      </c>
      <c r="K47" s="1293"/>
      <c r="L47" s="1293"/>
      <c r="M47" s="1293"/>
      <c r="N47" s="1344"/>
    </row>
    <row r="48" spans="1:19" ht="18" customHeight="1" x14ac:dyDescent="0.25">
      <c r="B48" s="127"/>
      <c r="C48" s="41" t="s">
        <v>85</v>
      </c>
      <c r="D48" s="112">
        <v>40</v>
      </c>
      <c r="E48" s="112">
        <v>55</v>
      </c>
      <c r="F48" s="112">
        <v>80</v>
      </c>
      <c r="G48" s="112">
        <v>90</v>
      </c>
      <c r="H48" s="112">
        <v>110</v>
      </c>
      <c r="I48" s="112">
        <v>120</v>
      </c>
      <c r="J48" s="1293"/>
      <c r="K48" s="1293"/>
      <c r="L48" s="1293"/>
      <c r="M48" s="1293"/>
      <c r="N48" s="1344"/>
    </row>
    <row r="49" spans="2:22" ht="18" customHeight="1" x14ac:dyDescent="0.25">
      <c r="B49" s="127"/>
      <c r="C49" s="41" t="s">
        <v>201</v>
      </c>
      <c r="D49" s="80">
        <v>8.6</v>
      </c>
      <c r="E49" s="80">
        <v>11.4</v>
      </c>
      <c r="F49" s="80">
        <v>15</v>
      </c>
      <c r="G49" s="80">
        <v>17</v>
      </c>
      <c r="H49" s="80">
        <v>17.5</v>
      </c>
      <c r="I49" s="80">
        <v>18.2</v>
      </c>
      <c r="J49" s="1293"/>
      <c r="K49" s="1293"/>
      <c r="L49" s="1293"/>
      <c r="M49" s="1293"/>
      <c r="N49" s="1344"/>
    </row>
    <row r="50" spans="2:22" ht="18" customHeight="1" x14ac:dyDescent="0.25">
      <c r="B50" s="306"/>
      <c r="C50" s="85" t="s">
        <v>204</v>
      </c>
      <c r="D50" s="113">
        <f>D48*D49/6.25</f>
        <v>55.04</v>
      </c>
      <c r="E50" s="113">
        <f t="shared" ref="E50:I50" si="15">E48*E49/6.25</f>
        <v>100.32</v>
      </c>
      <c r="F50" s="113">
        <f t="shared" si="15"/>
        <v>192</v>
      </c>
      <c r="G50" s="113">
        <f t="shared" si="15"/>
        <v>244.8</v>
      </c>
      <c r="H50" s="113">
        <f t="shared" si="15"/>
        <v>308</v>
      </c>
      <c r="I50" s="113">
        <f t="shared" si="15"/>
        <v>349.44</v>
      </c>
      <c r="J50" s="711"/>
      <c r="K50" s="711"/>
      <c r="L50" s="711"/>
      <c r="M50" s="711"/>
      <c r="N50" s="708"/>
      <c r="Q50" s="519"/>
      <c r="R50" s="519"/>
    </row>
    <row r="51" spans="2:22" ht="18" customHeight="1" x14ac:dyDescent="0.25">
      <c r="F51" s="80"/>
      <c r="G51" s="80"/>
      <c r="H51" s="80"/>
      <c r="I51" s="80"/>
      <c r="Q51" s="519"/>
      <c r="R51" s="519"/>
    </row>
    <row r="52" spans="2:22" ht="15" customHeight="1" x14ac:dyDescent="0.25">
      <c r="B52" s="302"/>
      <c r="C52" s="176" t="s">
        <v>212</v>
      </c>
      <c r="D52" s="111"/>
      <c r="E52" s="111"/>
      <c r="F52" s="111"/>
      <c r="G52" s="111"/>
      <c r="H52" s="111"/>
      <c r="I52" s="1699" t="s">
        <v>203</v>
      </c>
      <c r="J52" s="1699"/>
      <c r="K52" s="111"/>
      <c r="L52" s="111" t="s">
        <v>215</v>
      </c>
      <c r="M52" s="111" t="s">
        <v>214</v>
      </c>
      <c r="N52" s="706" t="s">
        <v>214</v>
      </c>
    </row>
    <row r="53" spans="2:22" x14ac:dyDescent="0.25">
      <c r="B53" s="127"/>
      <c r="C53" s="41" t="s">
        <v>200</v>
      </c>
      <c r="D53" s="112">
        <v>1</v>
      </c>
      <c r="E53" s="112">
        <v>2</v>
      </c>
      <c r="F53" s="112">
        <v>3</v>
      </c>
      <c r="G53" s="112">
        <v>4</v>
      </c>
      <c r="H53" s="112">
        <v>5</v>
      </c>
      <c r="I53" s="1360"/>
      <c r="J53" s="1360"/>
      <c r="L53" s="112">
        <v>2</v>
      </c>
      <c r="M53" s="112">
        <v>3</v>
      </c>
      <c r="N53" s="150">
        <v>4</v>
      </c>
    </row>
    <row r="54" spans="2:22" x14ac:dyDescent="0.25">
      <c r="B54" s="127"/>
      <c r="C54" s="41" t="s">
        <v>85</v>
      </c>
      <c r="D54" s="112">
        <v>45</v>
      </c>
      <c r="E54" s="112">
        <v>60</v>
      </c>
      <c r="F54" s="112">
        <v>72.5</v>
      </c>
      <c r="G54" s="112">
        <v>82.5</v>
      </c>
      <c r="H54" s="112">
        <v>90</v>
      </c>
      <c r="I54" s="1360"/>
      <c r="J54" s="1360"/>
      <c r="L54" s="114">
        <v>55</v>
      </c>
      <c r="M54" s="114">
        <v>75</v>
      </c>
      <c r="N54" s="721">
        <v>85</v>
      </c>
    </row>
    <row r="55" spans="2:22" x14ac:dyDescent="0.25">
      <c r="B55" s="127"/>
      <c r="C55" s="41" t="s">
        <v>201</v>
      </c>
      <c r="D55" s="80">
        <v>9</v>
      </c>
      <c r="E55" s="80">
        <v>13</v>
      </c>
      <c r="F55" s="80">
        <v>16</v>
      </c>
      <c r="G55" s="80">
        <v>17</v>
      </c>
      <c r="H55" s="80">
        <v>18</v>
      </c>
      <c r="I55" s="1360"/>
      <c r="J55" s="1360"/>
      <c r="L55" s="400">
        <v>12</v>
      </c>
      <c r="M55" s="400">
        <v>16</v>
      </c>
      <c r="N55" s="707">
        <v>17</v>
      </c>
    </row>
    <row r="56" spans="2:22" ht="37.5" customHeight="1" x14ac:dyDescent="0.25">
      <c r="B56" s="306"/>
      <c r="C56" s="85" t="s">
        <v>204</v>
      </c>
      <c r="D56" s="113">
        <f>D54*D55/6.25</f>
        <v>64.8</v>
      </c>
      <c r="E56" s="113">
        <f t="shared" ref="E56:H56" si="16">E54*E55/6.25</f>
        <v>124.8</v>
      </c>
      <c r="F56" s="113">
        <f t="shared" si="16"/>
        <v>185.6</v>
      </c>
      <c r="G56" s="113">
        <f t="shared" si="16"/>
        <v>224.4</v>
      </c>
      <c r="H56" s="113">
        <f t="shared" si="16"/>
        <v>259.2</v>
      </c>
      <c r="I56" s="1729"/>
      <c r="J56" s="1729"/>
      <c r="K56" s="711"/>
      <c r="L56" s="113">
        <f t="shared" ref="L56:N56" si="17">L54*L55/6.25</f>
        <v>105.6</v>
      </c>
      <c r="M56" s="113">
        <f t="shared" si="17"/>
        <v>192</v>
      </c>
      <c r="N56" s="115">
        <f t="shared" si="17"/>
        <v>231.2</v>
      </c>
    </row>
    <row r="57" spans="2:22" x14ac:dyDescent="0.25">
      <c r="C57" s="1710" t="s">
        <v>205</v>
      </c>
      <c r="D57" s="1710"/>
      <c r="E57" s="1710"/>
      <c r="F57" s="1710"/>
      <c r="G57" s="1710"/>
      <c r="H57" s="1710"/>
      <c r="I57" s="1710"/>
    </row>
    <row r="58" spans="2:22" x14ac:dyDescent="0.25">
      <c r="C58" s="1710"/>
      <c r="D58" s="1710"/>
      <c r="E58" s="1710"/>
      <c r="F58" s="1710"/>
      <c r="G58" s="1710"/>
      <c r="H58" s="1710"/>
      <c r="I58" s="1710"/>
    </row>
    <row r="59" spans="2:22" x14ac:dyDescent="0.25">
      <c r="C59" s="1710"/>
      <c r="D59" s="1710"/>
      <c r="E59" s="1710"/>
      <c r="F59" s="1710"/>
      <c r="G59" s="1710"/>
      <c r="H59" s="1710"/>
      <c r="I59" s="1710"/>
      <c r="S59" s="15"/>
    </row>
    <row r="61" spans="2:22" x14ac:dyDescent="0.25">
      <c r="T61" s="15"/>
      <c r="U61" s="15"/>
    </row>
    <row r="62" spans="2:22" ht="15.75" customHeight="1" x14ac:dyDescent="0.25">
      <c r="N62" s="41"/>
      <c r="T62" s="15"/>
      <c r="U62" s="15"/>
      <c r="V62" s="80"/>
    </row>
    <row r="63" spans="2:22" x14ac:dyDescent="0.25">
      <c r="N63" s="41"/>
      <c r="T63" s="15"/>
      <c r="U63" s="15"/>
      <c r="V63" s="80"/>
    </row>
    <row r="64" spans="2:22" x14ac:dyDescent="0.25">
      <c r="N64" s="41"/>
      <c r="T64" s="15"/>
      <c r="U64" s="15"/>
      <c r="V64" s="80"/>
    </row>
    <row r="65" spans="14:22" x14ac:dyDescent="0.25">
      <c r="N65" s="41"/>
      <c r="T65" s="15"/>
      <c r="U65" s="15"/>
      <c r="V65" s="80"/>
    </row>
    <row r="66" spans="14:22" x14ac:dyDescent="0.25">
      <c r="N66" s="41"/>
      <c r="T66" s="15"/>
      <c r="U66" s="15"/>
      <c r="V66" s="80"/>
    </row>
    <row r="67" spans="14:22" ht="19.5" customHeight="1" x14ac:dyDescent="0.25">
      <c r="N67" s="41"/>
      <c r="T67" s="15"/>
      <c r="U67" s="15"/>
      <c r="V67" s="80"/>
    </row>
    <row r="68" spans="14:22" x14ac:dyDescent="0.25">
      <c r="N68" s="41"/>
      <c r="T68" s="15"/>
      <c r="U68" s="15"/>
      <c r="V68" s="80"/>
    </row>
    <row r="69" spans="14:22" x14ac:dyDescent="0.25">
      <c r="N69" s="41"/>
      <c r="V69" s="80"/>
    </row>
    <row r="70" spans="14:22" x14ac:dyDescent="0.25">
      <c r="V70" s="80"/>
    </row>
    <row r="71" spans="14:22" x14ac:dyDescent="0.25">
      <c r="V71" s="80"/>
    </row>
    <row r="72" spans="14:22" x14ac:dyDescent="0.25">
      <c r="V72" s="80"/>
    </row>
    <row r="73" spans="14:22" x14ac:dyDescent="0.25">
      <c r="V73" s="80"/>
    </row>
    <row r="74" spans="14:22" x14ac:dyDescent="0.25">
      <c r="V74" s="80"/>
    </row>
    <row r="75" spans="14:22" x14ac:dyDescent="0.25">
      <c r="R75" s="3"/>
      <c r="S75"/>
      <c r="V75" s="80"/>
    </row>
    <row r="76" spans="14:22" x14ac:dyDescent="0.25">
      <c r="R76" s="3"/>
      <c r="S76"/>
      <c r="V76" s="80"/>
    </row>
    <row r="77" spans="14:22" x14ac:dyDescent="0.25">
      <c r="R77" s="3"/>
      <c r="S77"/>
    </row>
    <row r="78" spans="14:22" x14ac:dyDescent="0.25">
      <c r="R78" s="3"/>
      <c r="S78"/>
    </row>
    <row r="79" spans="14:22" x14ac:dyDescent="0.25">
      <c r="P79"/>
      <c r="R79" s="3"/>
      <c r="S79"/>
    </row>
    <row r="80" spans="14:22" x14ac:dyDescent="0.25">
      <c r="O80"/>
      <c r="P80"/>
      <c r="R80" s="3"/>
      <c r="S80"/>
    </row>
    <row r="81" spans="1:22" x14ac:dyDescent="0.25">
      <c r="O81"/>
      <c r="P81"/>
      <c r="R81" s="3"/>
      <c r="S81"/>
    </row>
    <row r="82" spans="1:22" x14ac:dyDescent="0.25">
      <c r="O82"/>
      <c r="P82"/>
      <c r="R82" s="3"/>
      <c r="S82"/>
    </row>
    <row r="83" spans="1:22" x14ac:dyDescent="0.25">
      <c r="O83"/>
      <c r="P83"/>
      <c r="R83" s="3"/>
      <c r="S83"/>
    </row>
    <row r="84" spans="1:22" x14ac:dyDescent="0.25">
      <c r="O84"/>
      <c r="P84"/>
      <c r="R84" s="3"/>
      <c r="S84"/>
    </row>
    <row r="85" spans="1:22" x14ac:dyDescent="0.25">
      <c r="O85"/>
      <c r="P85"/>
      <c r="R85" s="3"/>
      <c r="S85"/>
    </row>
    <row r="86" spans="1:22" x14ac:dyDescent="0.25">
      <c r="O86"/>
      <c r="P86"/>
      <c r="R86" s="3"/>
      <c r="S86"/>
    </row>
    <row r="87" spans="1:22" x14ac:dyDescent="0.25">
      <c r="O87"/>
      <c r="P87"/>
      <c r="R87" s="3"/>
      <c r="S87"/>
    </row>
    <row r="88" spans="1:22" x14ac:dyDescent="0.25">
      <c r="O88"/>
      <c r="P88"/>
      <c r="R88" s="3"/>
      <c r="S88"/>
    </row>
    <row r="89" spans="1:22" x14ac:dyDescent="0.25">
      <c r="O89"/>
      <c r="P89"/>
      <c r="R89" s="3"/>
      <c r="S89"/>
    </row>
    <row r="90" spans="1:22" x14ac:dyDescent="0.25">
      <c r="O90"/>
      <c r="P90"/>
      <c r="R90" s="3"/>
      <c r="S90"/>
    </row>
    <row r="91" spans="1:22" x14ac:dyDescent="0.25">
      <c r="O91"/>
      <c r="P91"/>
    </row>
    <row r="92" spans="1:22" x14ac:dyDescent="0.25">
      <c r="O92"/>
      <c r="P92"/>
    </row>
    <row r="93" spans="1:22" x14ac:dyDescent="0.25">
      <c r="O93"/>
      <c r="P93"/>
    </row>
    <row r="94" spans="1:22" x14ac:dyDescent="0.25">
      <c r="O94"/>
      <c r="P94"/>
    </row>
    <row r="95" spans="1:22" s="15" customFormat="1" x14ac:dyDescent="0.25">
      <c r="A95" s="32"/>
      <c r="B95" s="112"/>
      <c r="C95" s="112"/>
      <c r="D95" s="80"/>
      <c r="E95" s="80"/>
      <c r="J95" s="80"/>
      <c r="K95" s="80"/>
      <c r="O95"/>
      <c r="Q95"/>
      <c r="R95"/>
      <c r="S95" s="3"/>
      <c r="T95"/>
      <c r="U95"/>
      <c r="V95"/>
    </row>
  </sheetData>
  <sheetProtection sheet="1" formatCells="0" formatColumns="0" formatRows="0" selectLockedCells="1"/>
  <mergeCells count="163">
    <mergeCell ref="J47:N49"/>
    <mergeCell ref="I52:J56"/>
    <mergeCell ref="C57:I59"/>
    <mergeCell ref="C44:D44"/>
    <mergeCell ref="E44:F44"/>
    <mergeCell ref="G44:H44"/>
    <mergeCell ref="I44:J44"/>
    <mergeCell ref="K44:L44"/>
    <mergeCell ref="M44:N44"/>
    <mergeCell ref="C43:D43"/>
    <mergeCell ref="E43:F43"/>
    <mergeCell ref="G43:H43"/>
    <mergeCell ref="I43:J43"/>
    <mergeCell ref="K43:L43"/>
    <mergeCell ref="M43:N43"/>
    <mergeCell ref="C42:D42"/>
    <mergeCell ref="E42:F42"/>
    <mergeCell ref="G42:H42"/>
    <mergeCell ref="I42:J42"/>
    <mergeCell ref="K42:L42"/>
    <mergeCell ref="M42:N42"/>
    <mergeCell ref="C41:D41"/>
    <mergeCell ref="E41:F41"/>
    <mergeCell ref="G41:H41"/>
    <mergeCell ref="I41:J41"/>
    <mergeCell ref="K41:L41"/>
    <mergeCell ref="M41:N41"/>
    <mergeCell ref="C40:D40"/>
    <mergeCell ref="E40:F40"/>
    <mergeCell ref="G40:H40"/>
    <mergeCell ref="I40:J40"/>
    <mergeCell ref="K40:L40"/>
    <mergeCell ref="M40:N40"/>
    <mergeCell ref="C39:D39"/>
    <mergeCell ref="E39:F39"/>
    <mergeCell ref="G39:H39"/>
    <mergeCell ref="I39:J39"/>
    <mergeCell ref="K39:L39"/>
    <mergeCell ref="M39:N39"/>
    <mergeCell ref="C38:D38"/>
    <mergeCell ref="E38:F38"/>
    <mergeCell ref="G38:H38"/>
    <mergeCell ref="I38:J38"/>
    <mergeCell ref="K38:L38"/>
    <mergeCell ref="M38:N38"/>
    <mergeCell ref="C37:D37"/>
    <mergeCell ref="E37:F37"/>
    <mergeCell ref="G37:H37"/>
    <mergeCell ref="I37:J37"/>
    <mergeCell ref="K37:L37"/>
    <mergeCell ref="M37:N37"/>
    <mergeCell ref="C36:D36"/>
    <mergeCell ref="E36:F36"/>
    <mergeCell ref="G36:H36"/>
    <mergeCell ref="I36:J36"/>
    <mergeCell ref="K36:L36"/>
    <mergeCell ref="M36:N36"/>
    <mergeCell ref="C35:D35"/>
    <mergeCell ref="E35:F35"/>
    <mergeCell ref="G35:H35"/>
    <mergeCell ref="I35:J35"/>
    <mergeCell ref="K35:L35"/>
    <mergeCell ref="M35:N35"/>
    <mergeCell ref="C33:N33"/>
    <mergeCell ref="C34:D34"/>
    <mergeCell ref="E34:F34"/>
    <mergeCell ref="G34:H34"/>
    <mergeCell ref="I34:J34"/>
    <mergeCell ref="K34:L34"/>
    <mergeCell ref="M34:N34"/>
    <mergeCell ref="C31:D31"/>
    <mergeCell ref="E31:F31"/>
    <mergeCell ref="G31:H31"/>
    <mergeCell ref="I31:J31"/>
    <mergeCell ref="K31:L31"/>
    <mergeCell ref="M31:N31"/>
    <mergeCell ref="C30:D30"/>
    <mergeCell ref="E30:F30"/>
    <mergeCell ref="G30:H30"/>
    <mergeCell ref="I30:J30"/>
    <mergeCell ref="K30:L30"/>
    <mergeCell ref="M30:N30"/>
    <mergeCell ref="C29:D29"/>
    <mergeCell ref="E29:F29"/>
    <mergeCell ref="G29:H29"/>
    <mergeCell ref="I29:J29"/>
    <mergeCell ref="K29:L29"/>
    <mergeCell ref="M29:N29"/>
    <mergeCell ref="C28:D28"/>
    <mergeCell ref="E28:F28"/>
    <mergeCell ref="G28:H28"/>
    <mergeCell ref="I28:J28"/>
    <mergeCell ref="K28:L28"/>
    <mergeCell ref="M28:N28"/>
    <mergeCell ref="C27:D27"/>
    <mergeCell ref="E27:F27"/>
    <mergeCell ref="G27:H27"/>
    <mergeCell ref="I27:J27"/>
    <mergeCell ref="K27:L27"/>
    <mergeCell ref="M27:N27"/>
    <mergeCell ref="C26:D26"/>
    <mergeCell ref="E26:F26"/>
    <mergeCell ref="G26:H26"/>
    <mergeCell ref="I26:J26"/>
    <mergeCell ref="K26:L26"/>
    <mergeCell ref="M26:N26"/>
    <mergeCell ref="C25:D25"/>
    <mergeCell ref="E25:F25"/>
    <mergeCell ref="G25:H25"/>
    <mergeCell ref="I25:J25"/>
    <mergeCell ref="K25:L25"/>
    <mergeCell ref="M25:N25"/>
    <mergeCell ref="C24:D24"/>
    <mergeCell ref="E24:F24"/>
    <mergeCell ref="G24:H24"/>
    <mergeCell ref="I24:J24"/>
    <mergeCell ref="K24:L24"/>
    <mergeCell ref="M24:N24"/>
    <mergeCell ref="C22:D22"/>
    <mergeCell ref="E22:F22"/>
    <mergeCell ref="G22:H22"/>
    <mergeCell ref="I22:J22"/>
    <mergeCell ref="K22:L22"/>
    <mergeCell ref="M22:N22"/>
    <mergeCell ref="C20:D20"/>
    <mergeCell ref="E20:F20"/>
    <mergeCell ref="G20:H20"/>
    <mergeCell ref="I20:J20"/>
    <mergeCell ref="K20:L20"/>
    <mergeCell ref="M20:N20"/>
    <mergeCell ref="I13:J13"/>
    <mergeCell ref="K13:L13"/>
    <mergeCell ref="M13:N13"/>
    <mergeCell ref="C14:D14"/>
    <mergeCell ref="E14:F14"/>
    <mergeCell ref="G14:H14"/>
    <mergeCell ref="I14:J14"/>
    <mergeCell ref="K14:L14"/>
    <mergeCell ref="M14:N14"/>
    <mergeCell ref="B5:N5"/>
    <mergeCell ref="C7:N7"/>
    <mergeCell ref="C9:D9"/>
    <mergeCell ref="E9:F9"/>
    <mergeCell ref="G9:H9"/>
    <mergeCell ref="I9:J9"/>
    <mergeCell ref="K9:L9"/>
    <mergeCell ref="M9:N9"/>
    <mergeCell ref="Q10:Q24"/>
    <mergeCell ref="C11:D11"/>
    <mergeCell ref="E11:F11"/>
    <mergeCell ref="G11:H11"/>
    <mergeCell ref="I11:J11"/>
    <mergeCell ref="K11:L11"/>
    <mergeCell ref="M11:N11"/>
    <mergeCell ref="C13:D13"/>
    <mergeCell ref="E13:F13"/>
    <mergeCell ref="G13:H13"/>
    <mergeCell ref="C10:D10"/>
    <mergeCell ref="E10:F10"/>
    <mergeCell ref="G10:H10"/>
    <mergeCell ref="I10:J10"/>
    <mergeCell ref="K10:L10"/>
    <mergeCell ref="M10:N10"/>
  </mergeCells>
  <dataValidations count="2">
    <dataValidation type="list" allowBlank="1" sqref="M18 K18 I18 G18 E18 C18" xr:uid="{00000000-0002-0000-1F00-000000000000}">
      <formula1>$R$17:$R$20</formula1>
    </dataValidation>
    <dataValidation type="list" allowBlank="1" sqref="M16 E16 G16 I16 K16 C16" xr:uid="{00000000-0002-0000-1F00-000001000000}">
      <formula1>Vorfrucht</formula1>
    </dataValidation>
  </dataValidations>
  <pageMargins left="0.25" right="0.25" top="0.75" bottom="0.75" header="0.3" footer="0.3"/>
  <pageSetup paperSize="9" scale="68" orientation="landscape" horizontalDpi="4294967293" verticalDpi="4294967293"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Tabelle43">
    <tabColor theme="0" tint="-4.9989318521683403E-2"/>
    <pageSetUpPr fitToPage="1"/>
  </sheetPr>
  <dimension ref="A1:V73"/>
  <sheetViews>
    <sheetView zoomScaleNormal="100" workbookViewId="0">
      <selection activeCell="C36" sqref="C36:D36"/>
    </sheetView>
  </sheetViews>
  <sheetFormatPr baseColWidth="10" defaultRowHeight="15" x14ac:dyDescent="0.25"/>
  <cols>
    <col min="1" max="1" width="7.28515625" style="32" customWidth="1"/>
    <col min="2" max="2" width="44.5703125" style="112" customWidth="1"/>
    <col min="3" max="3" width="9.42578125" style="112" customWidth="1"/>
    <col min="4" max="5" width="9.42578125" style="80" customWidth="1"/>
    <col min="6" max="11" width="9.42578125" style="15" customWidth="1"/>
    <col min="12" max="12" width="9.42578125" style="80" customWidth="1"/>
    <col min="13" max="13" width="25" style="15" customWidth="1"/>
    <col min="14" max="14" width="6.42578125" style="15" customWidth="1"/>
    <col min="15" max="15" width="35.5703125" customWidth="1"/>
    <col min="16" max="16" width="27.7109375" style="9" customWidth="1"/>
    <col min="17" max="17" width="23.85546875" style="3" customWidth="1"/>
    <col min="18" max="19" width="17.7109375" customWidth="1"/>
    <col min="20" max="20" width="17.5703125" customWidth="1"/>
    <col min="21" max="21" width="21.42578125" customWidth="1"/>
    <col min="23" max="25" width="25" customWidth="1"/>
  </cols>
  <sheetData>
    <row r="1" spans="1:17" x14ac:dyDescent="0.25">
      <c r="B1" s="112" t="str">
        <f>'DüV-N-Ackerbau (1)'!C1</f>
        <v>Testbetrieb</v>
      </c>
      <c r="C1" s="112" t="str">
        <f>'DüV-N-Ackerbau (1)'!F1</f>
        <v>Erntejahr</v>
      </c>
      <c r="M1" s="109" t="s">
        <v>36</v>
      </c>
      <c r="N1" s="2"/>
    </row>
    <row r="2" spans="1:17" x14ac:dyDescent="0.25">
      <c r="B2" s="112">
        <f>'DüV-N-Ackerbau (1)'!C2</f>
        <v>1</v>
      </c>
      <c r="C2" s="112">
        <f>'DüV-N-Ackerbau (1)'!G1</f>
        <v>2022</v>
      </c>
      <c r="M2" s="110" t="s">
        <v>34</v>
      </c>
      <c r="N2" s="2"/>
    </row>
    <row r="3" spans="1:17" x14ac:dyDescent="0.25">
      <c r="B3" s="112">
        <f>'DüV-N-Ackerbau (1)'!C3</f>
        <v>123456</v>
      </c>
      <c r="C3" s="41"/>
    </row>
    <row r="4" spans="1:17" ht="7.5" customHeight="1" thickBot="1" x14ac:dyDescent="0.3"/>
    <row r="5" spans="1:17" ht="16.5" thickBot="1" x14ac:dyDescent="0.3">
      <c r="B5" s="1704" t="s">
        <v>613</v>
      </c>
      <c r="C5" s="1705"/>
      <c r="D5" s="1705"/>
      <c r="E5" s="1705"/>
      <c r="F5" s="1705"/>
      <c r="G5" s="1705"/>
      <c r="H5" s="1705"/>
      <c r="I5" s="1705"/>
      <c r="J5" s="1705"/>
      <c r="K5" s="1705"/>
      <c r="L5" s="1705"/>
      <c r="M5" s="1665"/>
      <c r="N5" s="80"/>
    </row>
    <row r="6" spans="1:17" ht="6.75" customHeight="1" thickBot="1" x14ac:dyDescent="0.3"/>
    <row r="7" spans="1:17" ht="19.5" thickBot="1" x14ac:dyDescent="0.3">
      <c r="C7" s="1730" t="s">
        <v>197</v>
      </c>
      <c r="D7" s="1731"/>
      <c r="E7" s="1731"/>
      <c r="F7" s="1731"/>
      <c r="G7" s="1731"/>
      <c r="H7" s="1731"/>
      <c r="I7" s="1731"/>
      <c r="J7" s="1731"/>
      <c r="K7" s="1731"/>
      <c r="L7" s="1732"/>
    </row>
    <row r="8" spans="1:17" ht="9.75" customHeight="1" x14ac:dyDescent="0.25">
      <c r="L8" s="112"/>
      <c r="P8" s="378"/>
    </row>
    <row r="9" spans="1:17" ht="29.25" customHeight="1" x14ac:dyDescent="0.25">
      <c r="B9" s="146" t="s">
        <v>734</v>
      </c>
      <c r="C9" s="1733" t="s">
        <v>94</v>
      </c>
      <c r="D9" s="1733"/>
      <c r="E9" s="1733" t="s">
        <v>95</v>
      </c>
      <c r="F9" s="1733"/>
      <c r="G9" s="1733" t="s">
        <v>210</v>
      </c>
      <c r="H9" s="1733"/>
      <c r="I9" s="1733" t="s">
        <v>210</v>
      </c>
      <c r="J9" s="1733"/>
      <c r="K9" s="1733" t="s">
        <v>460</v>
      </c>
      <c r="L9" s="1733"/>
      <c r="M9" s="704" t="s">
        <v>734</v>
      </c>
      <c r="N9" s="118"/>
      <c r="O9" s="1710" t="s">
        <v>254</v>
      </c>
      <c r="P9" s="355" t="s">
        <v>79</v>
      </c>
      <c r="Q9" s="355" t="s">
        <v>5</v>
      </c>
    </row>
    <row r="10" spans="1:17" ht="33.75" customHeight="1" x14ac:dyDescent="0.25">
      <c r="B10" s="117" t="s">
        <v>469</v>
      </c>
      <c r="C10" s="1734" t="s">
        <v>463</v>
      </c>
      <c r="D10" s="1735"/>
      <c r="E10" s="1734" t="s">
        <v>462</v>
      </c>
      <c r="F10" s="1735"/>
      <c r="G10" s="1734" t="s">
        <v>463</v>
      </c>
      <c r="H10" s="1735"/>
      <c r="I10" s="1734" t="s">
        <v>462</v>
      </c>
      <c r="J10" s="1735"/>
      <c r="K10" s="1734" t="s">
        <v>462</v>
      </c>
      <c r="L10" s="1735"/>
      <c r="M10" s="118"/>
      <c r="N10" s="118"/>
      <c r="O10" s="1678"/>
      <c r="P10" s="378" t="s">
        <v>86</v>
      </c>
      <c r="Q10" s="354">
        <v>10</v>
      </c>
    </row>
    <row r="11" spans="1:17" ht="15.75" x14ac:dyDescent="0.25">
      <c r="A11" s="120"/>
      <c r="B11" s="120" t="s">
        <v>239</v>
      </c>
      <c r="C11" s="1646">
        <v>65</v>
      </c>
      <c r="D11" s="1714"/>
      <c r="E11" s="1646">
        <v>90</v>
      </c>
      <c r="F11" s="1714"/>
      <c r="G11" s="1646">
        <v>50</v>
      </c>
      <c r="H11" s="1714"/>
      <c r="I11" s="1646">
        <v>80</v>
      </c>
      <c r="J11" s="1714"/>
      <c r="K11" s="1646">
        <v>75</v>
      </c>
      <c r="L11" s="1714"/>
      <c r="M11" s="121" t="s">
        <v>85</v>
      </c>
      <c r="N11" s="121"/>
      <c r="O11" s="1678"/>
      <c r="P11" s="378" t="s">
        <v>87</v>
      </c>
      <c r="Q11" s="354">
        <v>30</v>
      </c>
    </row>
    <row r="12" spans="1:17" ht="18.75" customHeight="1" x14ac:dyDescent="0.25">
      <c r="A12" s="120"/>
      <c r="B12" s="120" t="s">
        <v>73</v>
      </c>
      <c r="C12" s="1711">
        <v>12.5</v>
      </c>
      <c r="D12" s="1712"/>
      <c r="E12" s="1711">
        <v>17</v>
      </c>
      <c r="F12" s="1712"/>
      <c r="G12" s="1711">
        <v>14</v>
      </c>
      <c r="H12" s="1712"/>
      <c r="I12" s="1711">
        <v>17</v>
      </c>
      <c r="J12" s="1712"/>
      <c r="K12" s="1711">
        <v>16</v>
      </c>
      <c r="L12" s="1712"/>
      <c r="M12" s="121" t="s">
        <v>73</v>
      </c>
      <c r="N12" s="121"/>
      <c r="O12" s="1678"/>
      <c r="P12" s="378" t="s">
        <v>238</v>
      </c>
      <c r="Q12" s="354">
        <v>50</v>
      </c>
    </row>
    <row r="13" spans="1:17" ht="9.75" customHeight="1" x14ac:dyDescent="0.25">
      <c r="B13" s="41"/>
      <c r="C13" s="127"/>
      <c r="D13" s="169"/>
      <c r="E13" s="170"/>
      <c r="F13" s="171"/>
      <c r="G13" s="172"/>
      <c r="H13" s="171"/>
      <c r="I13" s="178"/>
      <c r="J13" s="178"/>
      <c r="K13" s="172"/>
      <c r="L13" s="173"/>
      <c r="M13" s="118"/>
      <c r="N13" s="118"/>
      <c r="O13" s="1678"/>
      <c r="P13" s="378" t="s">
        <v>80</v>
      </c>
      <c r="Q13" s="354">
        <v>50</v>
      </c>
    </row>
    <row r="14" spans="1:17" ht="15" customHeight="1" x14ac:dyDescent="0.25">
      <c r="A14" s="43"/>
      <c r="B14" s="120" t="s">
        <v>263</v>
      </c>
      <c r="C14" s="1677">
        <f>IF(C$10="24 Std.", C11*C12*0.5/6.25,C11*C12*0.75/6.25)</f>
        <v>65</v>
      </c>
      <c r="D14" s="1736"/>
      <c r="E14" s="1677">
        <f>IF(E$10="24 Std.", E11*E12*0.5/6.25,E11*E12*0.75/6.25)</f>
        <v>183.6</v>
      </c>
      <c r="F14" s="1736"/>
      <c r="G14" s="1677">
        <f t="shared" ref="G14" si="0">IF(G$10="24 Std.", G11*G12*0.5/6.25,G11*G12*0.75/6.25)</f>
        <v>56</v>
      </c>
      <c r="H14" s="1736"/>
      <c r="I14" s="1677">
        <f t="shared" ref="I14" si="1">IF(I$10="24 Std.", I11*I12*0.5/6.25,I11*I12*0.75/6.25)</f>
        <v>163.19999999999999</v>
      </c>
      <c r="J14" s="1736"/>
      <c r="K14" s="1677">
        <f t="shared" ref="K14" si="2">IF(K$10="24 Std.", K11*K12*0.5/6.25,K11*K12*0.75/6.25)</f>
        <v>144</v>
      </c>
      <c r="L14" s="1736"/>
      <c r="M14" s="118" t="s">
        <v>4</v>
      </c>
      <c r="N14" s="118"/>
      <c r="O14" s="1678"/>
      <c r="P14" s="378" t="s">
        <v>81</v>
      </c>
      <c r="Q14" s="354">
        <v>80</v>
      </c>
    </row>
    <row r="15" spans="1:17" ht="47.25" customHeight="1" x14ac:dyDescent="0.25">
      <c r="A15" s="43"/>
      <c r="B15" s="514" t="s">
        <v>650</v>
      </c>
      <c r="C15" s="1715">
        <f>IF(C10="24 Std.",C11*0.5*(0.25+0.43*C12/6.25-0.06*C12/6.25*C12/6.25),C11*0.75*(0.25+0.43*C12/6.25-0.06*C12/6.25*C12/6.25))</f>
        <v>28.274999999999995</v>
      </c>
      <c r="D15" s="1716"/>
      <c r="E15" s="1715">
        <f t="shared" ref="E15" si="3">IF(E10="24 Std.",E11*0.5*(0.25+0.43*E12/6.25-0.06*E12/6.25*E12/6.25),E11*0.75*(0.25+0.43*E12/6.25-0.06*E12/6.25*E12/6.25))</f>
        <v>65.859479999999991</v>
      </c>
      <c r="F15" s="1716"/>
      <c r="G15" s="1715">
        <f t="shared" ref="G15" si="4">IF(G10="24 Std.",G11*0.5*(0.25+0.43*G12/6.25-0.06*G12/6.25*G12/6.25),G11*0.75*(0.25+0.43*G12/6.25-0.06*G12/6.25*G12/6.25))</f>
        <v>22.803600000000003</v>
      </c>
      <c r="H15" s="1716"/>
      <c r="I15" s="1715">
        <f t="shared" ref="I15" si="5">IF(I10="24 Std.",I11*0.5*(0.25+0.43*I12/6.25-0.06*I12/6.25*I12/6.25),I11*0.75*(0.25+0.43*I12/6.25-0.06*I12/6.25*I12/6.25))</f>
        <v>58.541759999999996</v>
      </c>
      <c r="J15" s="1716"/>
      <c r="K15" s="1715">
        <f t="shared" ref="K15" si="6">IF(K10="24 Std.",K11*0.5*(0.25+0.43*K12/6.25-0.06*K12/6.25*K12/6.25),K11*0.75*(0.25+0.43*K12/6.25-0.06*K12/6.25*K12/6.25))</f>
        <v>53.864100000000001</v>
      </c>
      <c r="L15" s="1716"/>
      <c r="M15" s="536" t="s">
        <v>649</v>
      </c>
      <c r="N15" s="118"/>
      <c r="O15" s="1678"/>
      <c r="P15" s="378"/>
      <c r="Q15" s="354"/>
    </row>
    <row r="16" spans="1:17" ht="9" customHeight="1" x14ac:dyDescent="0.25">
      <c r="B16" s="41"/>
      <c r="C16" s="70"/>
      <c r="D16" s="27"/>
      <c r="E16" s="128"/>
      <c r="F16" s="71"/>
      <c r="G16" s="175"/>
      <c r="H16" s="71"/>
      <c r="K16" s="175"/>
      <c r="L16" s="27"/>
      <c r="O16" s="1678"/>
      <c r="P16" s="378"/>
      <c r="Q16" s="353"/>
    </row>
    <row r="17" spans="2:17" ht="24" x14ac:dyDescent="0.25">
      <c r="B17" s="41" t="s">
        <v>82</v>
      </c>
      <c r="C17" s="340" t="s">
        <v>238</v>
      </c>
      <c r="D17" s="27">
        <f>VLOOKUP(C17,P10:Q14,2,FALSE)</f>
        <v>50</v>
      </c>
      <c r="E17" s="340" t="s">
        <v>86</v>
      </c>
      <c r="F17" s="27">
        <f>VLOOKUP(E17,P10:Q14,2,FALSE)</f>
        <v>10</v>
      </c>
      <c r="G17" s="340" t="s">
        <v>86</v>
      </c>
      <c r="H17" s="27">
        <f>VLOOKUP(G17,P10:Q14,2,FALSE)</f>
        <v>10</v>
      </c>
      <c r="I17" s="340" t="s">
        <v>86</v>
      </c>
      <c r="J17" s="27">
        <f>VLOOKUP(I17,P10:Q14,2,FALSE)</f>
        <v>10</v>
      </c>
      <c r="K17" s="340" t="s">
        <v>86</v>
      </c>
      <c r="L17" s="27">
        <f>VLOOKUP(K17,P10:Q14,2,FALSE)</f>
        <v>10</v>
      </c>
      <c r="M17" s="13" t="s">
        <v>4</v>
      </c>
      <c r="N17" s="13"/>
      <c r="O17" s="1678"/>
      <c r="P17" s="355" t="s">
        <v>84</v>
      </c>
      <c r="Q17" s="354"/>
    </row>
    <row r="18" spans="2:17" ht="9.75" customHeight="1" x14ac:dyDescent="0.25">
      <c r="B18" s="41"/>
      <c r="C18" s="127"/>
      <c r="D18" s="27"/>
      <c r="E18" s="128"/>
      <c r="F18" s="27"/>
      <c r="G18" s="128"/>
      <c r="H18" s="27"/>
      <c r="I18" s="80"/>
      <c r="J18" s="80"/>
      <c r="K18" s="128"/>
      <c r="L18" s="27"/>
      <c r="M18" s="13"/>
      <c r="N18" s="13"/>
      <c r="O18" s="1678"/>
      <c r="P18" s="378" t="s">
        <v>90</v>
      </c>
      <c r="Q18" s="354">
        <v>0</v>
      </c>
    </row>
    <row r="19" spans="2:17" ht="24" x14ac:dyDescent="0.25">
      <c r="B19" s="41" t="s">
        <v>83</v>
      </c>
      <c r="C19" s="340" t="s">
        <v>89</v>
      </c>
      <c r="D19" s="27">
        <f>VLOOKUP(C19,$P18:$Q21,2,FALSE)</f>
        <v>40</v>
      </c>
      <c r="E19" s="340" t="s">
        <v>88</v>
      </c>
      <c r="F19" s="27">
        <f>VLOOKUP(E19,$P18:$Q21,2,FALSE)</f>
        <v>20</v>
      </c>
      <c r="G19" s="340" t="s">
        <v>88</v>
      </c>
      <c r="H19" s="27">
        <f>VLOOKUP(G19,$P18:$Q21,2,FALSE)</f>
        <v>20</v>
      </c>
      <c r="I19" s="340" t="s">
        <v>233</v>
      </c>
      <c r="J19" s="27">
        <f>VLOOKUP(I19,$P18:$Q21,2,FALSE)</f>
        <v>60</v>
      </c>
      <c r="K19" s="340" t="s">
        <v>88</v>
      </c>
      <c r="L19" s="27">
        <f>VLOOKUP(K19,$P18:$Q21,2,FALSE)</f>
        <v>20</v>
      </c>
      <c r="M19" s="13" t="s">
        <v>4</v>
      </c>
      <c r="N19" s="13"/>
      <c r="O19" s="1678"/>
      <c r="P19" s="378" t="s">
        <v>88</v>
      </c>
      <c r="Q19" s="354">
        <v>20</v>
      </c>
    </row>
    <row r="20" spans="2:17" ht="8.25" customHeight="1" x14ac:dyDescent="0.25">
      <c r="B20" s="41"/>
      <c r="C20" s="127"/>
      <c r="D20" s="27"/>
      <c r="E20" s="128"/>
      <c r="F20" s="71"/>
      <c r="G20" s="175"/>
      <c r="H20" s="71"/>
      <c r="K20" s="175"/>
      <c r="L20" s="27"/>
      <c r="M20" s="13"/>
      <c r="N20" s="13"/>
      <c r="O20" s="1678"/>
      <c r="P20" s="378" t="s">
        <v>89</v>
      </c>
      <c r="Q20" s="354">
        <v>40</v>
      </c>
    </row>
    <row r="21" spans="2:17" x14ac:dyDescent="0.25">
      <c r="B21" s="41" t="s">
        <v>91</v>
      </c>
      <c r="C21" s="1718">
        <v>0</v>
      </c>
      <c r="D21" s="1719"/>
      <c r="E21" s="1718">
        <v>0</v>
      </c>
      <c r="F21" s="1719"/>
      <c r="G21" s="1718">
        <v>0</v>
      </c>
      <c r="H21" s="1719"/>
      <c r="I21" s="1718">
        <v>0</v>
      </c>
      <c r="J21" s="1719"/>
      <c r="K21" s="1718">
        <v>0</v>
      </c>
      <c r="L21" s="1719"/>
      <c r="M21" s="13" t="s">
        <v>216</v>
      </c>
      <c r="N21" s="13"/>
      <c r="O21" s="1678"/>
      <c r="P21" s="378" t="s">
        <v>233</v>
      </c>
      <c r="Q21" s="354">
        <v>60</v>
      </c>
    </row>
    <row r="22" spans="2:17" ht="9" customHeight="1" x14ac:dyDescent="0.25">
      <c r="B22" s="41"/>
      <c r="C22" s="127"/>
      <c r="D22" s="27"/>
      <c r="E22" s="128"/>
      <c r="F22" s="71"/>
      <c r="G22" s="175"/>
      <c r="H22" s="71"/>
      <c r="K22" s="175"/>
      <c r="L22" s="27"/>
      <c r="O22" s="1678"/>
    </row>
    <row r="23" spans="2:17" ht="15.75" x14ac:dyDescent="0.25">
      <c r="B23" s="141" t="s">
        <v>475</v>
      </c>
      <c r="C23" s="1717">
        <f>IF(C14-D17-D19-C21&lt;0,0,C14-D17-D19-C21)</f>
        <v>0</v>
      </c>
      <c r="D23" s="1717"/>
      <c r="E23" s="1717">
        <f t="shared" ref="E23" si="7">IF(E14-F17-F19-E21&lt;0,0,E14-F17-F19-E21)</f>
        <v>153.6</v>
      </c>
      <c r="F23" s="1717"/>
      <c r="G23" s="1717">
        <f t="shared" ref="G23" si="8">IF(G14-H17-H19-G21&lt;0,0,G14-H17-H19-G21)</f>
        <v>26</v>
      </c>
      <c r="H23" s="1717"/>
      <c r="I23" s="1717">
        <f t="shared" ref="I23" si="9">IF(I14-J17-J19-I21&lt;0,0,I14-J17-J19-I21)</f>
        <v>93.199999999999989</v>
      </c>
      <c r="J23" s="1717"/>
      <c r="K23" s="1717">
        <f t="shared" ref="K23" si="10">IF(K14-L17-L19-K21&lt;0,0,K14-L17-L19-K21)</f>
        <v>114</v>
      </c>
      <c r="L23" s="1717"/>
      <c r="M23" s="15" t="s">
        <v>477</v>
      </c>
      <c r="N23" s="13"/>
      <c r="O23" s="1678"/>
    </row>
    <row r="24" spans="2:17" ht="8.25" customHeight="1" x14ac:dyDescent="0.25">
      <c r="B24" s="41"/>
      <c r="O24" s="1678"/>
    </row>
    <row r="25" spans="2:17" ht="18" customHeight="1" x14ac:dyDescent="0.25">
      <c r="B25" s="41" t="s">
        <v>189</v>
      </c>
      <c r="C25" s="1720"/>
      <c r="D25" s="1720"/>
      <c r="E25" s="1721"/>
      <c r="F25" s="1721"/>
      <c r="G25" s="1721"/>
      <c r="H25" s="1721"/>
      <c r="I25" s="1737"/>
      <c r="J25" s="1738"/>
      <c r="K25" s="1721"/>
      <c r="L25" s="1721"/>
    </row>
    <row r="26" spans="2:17" ht="18" customHeight="1" x14ac:dyDescent="0.25">
      <c r="B26" s="41" t="s">
        <v>190</v>
      </c>
      <c r="C26" s="1720"/>
      <c r="D26" s="1720"/>
      <c r="E26" s="1721"/>
      <c r="F26" s="1721"/>
      <c r="G26" s="1721"/>
      <c r="H26" s="1721"/>
      <c r="I26" s="1737"/>
      <c r="J26" s="1738"/>
      <c r="K26" s="1721"/>
      <c r="L26" s="1721"/>
      <c r="O26" s="4"/>
      <c r="P26" s="32"/>
    </row>
    <row r="27" spans="2:17" ht="18" customHeight="1" x14ac:dyDescent="0.25">
      <c r="B27" s="41" t="s">
        <v>191</v>
      </c>
      <c r="C27" s="1720"/>
      <c r="D27" s="1720"/>
      <c r="E27" s="1721"/>
      <c r="F27" s="1721"/>
      <c r="G27" s="1721"/>
      <c r="H27" s="1721"/>
      <c r="I27" s="1737"/>
      <c r="J27" s="1738"/>
      <c r="K27" s="1721"/>
      <c r="L27" s="1721"/>
    </row>
    <row r="28" spans="2:17" ht="18" customHeight="1" x14ac:dyDescent="0.25">
      <c r="B28" s="41" t="s">
        <v>193</v>
      </c>
      <c r="C28" s="1720"/>
      <c r="D28" s="1720"/>
      <c r="E28" s="1721"/>
      <c r="F28" s="1721"/>
      <c r="G28" s="1721"/>
      <c r="H28" s="1721"/>
      <c r="I28" s="1737"/>
      <c r="J28" s="1738"/>
      <c r="K28" s="1721"/>
      <c r="L28" s="1721"/>
    </row>
    <row r="29" spans="2:17" ht="18" customHeight="1" x14ac:dyDescent="0.25">
      <c r="B29" s="41" t="s">
        <v>194</v>
      </c>
      <c r="C29" s="1720"/>
      <c r="D29" s="1720"/>
      <c r="E29" s="1721"/>
      <c r="F29" s="1721"/>
      <c r="G29" s="1721"/>
      <c r="H29" s="1721"/>
      <c r="I29" s="1737"/>
      <c r="J29" s="1738"/>
      <c r="K29" s="1721"/>
      <c r="L29" s="1721"/>
    </row>
    <row r="30" spans="2:17" ht="18" customHeight="1" x14ac:dyDescent="0.25">
      <c r="B30" s="41" t="s">
        <v>192</v>
      </c>
      <c r="C30" s="1720"/>
      <c r="D30" s="1720"/>
      <c r="E30" s="1721"/>
      <c r="F30" s="1721"/>
      <c r="G30" s="1721"/>
      <c r="H30" s="1721"/>
      <c r="I30" s="1737"/>
      <c r="J30" s="1738"/>
      <c r="K30" s="1721"/>
      <c r="L30" s="1721"/>
    </row>
    <row r="31" spans="2:17" ht="18" customHeight="1" x14ac:dyDescent="0.25">
      <c r="B31" s="41" t="s">
        <v>195</v>
      </c>
      <c r="C31" s="1720"/>
      <c r="D31" s="1720"/>
      <c r="E31" s="1721"/>
      <c r="F31" s="1721"/>
      <c r="G31" s="1721"/>
      <c r="H31" s="1721"/>
      <c r="I31" s="1737"/>
      <c r="J31" s="1738"/>
      <c r="K31" s="1721"/>
      <c r="L31" s="1721"/>
    </row>
    <row r="32" spans="2:17" ht="18" customHeight="1" x14ac:dyDescent="0.25">
      <c r="B32" s="41" t="s">
        <v>217</v>
      </c>
      <c r="C32" s="1720"/>
      <c r="D32" s="1720"/>
      <c r="E32" s="1721"/>
      <c r="F32" s="1721"/>
      <c r="G32" s="1721"/>
      <c r="H32" s="1721"/>
      <c r="I32" s="1737"/>
      <c r="J32" s="1738"/>
      <c r="K32" s="1721"/>
      <c r="L32" s="1721"/>
    </row>
    <row r="33" spans="2:22" ht="8.25" customHeight="1" x14ac:dyDescent="0.25">
      <c r="B33" s="41"/>
      <c r="Q33" s="1739"/>
    </row>
    <row r="34" spans="2:22" ht="27" customHeight="1" x14ac:dyDescent="0.25">
      <c r="B34" s="142"/>
      <c r="C34" s="1453" t="s">
        <v>729</v>
      </c>
      <c r="D34" s="1674"/>
      <c r="E34" s="1454"/>
      <c r="F34" s="1454"/>
      <c r="G34" s="1454"/>
      <c r="H34" s="1454"/>
      <c r="I34" s="1454"/>
      <c r="J34" s="1454"/>
      <c r="K34" s="1454"/>
      <c r="L34" s="1455"/>
      <c r="M34" s="133"/>
      <c r="N34" s="220"/>
      <c r="O34" s="519" t="s">
        <v>183</v>
      </c>
      <c r="P34" s="122" t="s">
        <v>186</v>
      </c>
      <c r="Q34" s="1739"/>
    </row>
    <row r="35" spans="2:22" ht="18.75" customHeight="1" x14ac:dyDescent="0.25">
      <c r="B35" s="143" t="s">
        <v>42</v>
      </c>
      <c r="C35" s="1717">
        <f>C23</f>
        <v>0</v>
      </c>
      <c r="D35" s="1717"/>
      <c r="E35" s="1717">
        <f>E23</f>
        <v>153.6</v>
      </c>
      <c r="F35" s="1717"/>
      <c r="G35" s="1717">
        <f>G23</f>
        <v>26</v>
      </c>
      <c r="H35" s="1717"/>
      <c r="I35" s="1717">
        <f>I23</f>
        <v>93.199999999999989</v>
      </c>
      <c r="J35" s="1717"/>
      <c r="K35" s="1717">
        <f>K23</f>
        <v>114</v>
      </c>
      <c r="L35" s="1717"/>
      <c r="M35" s="134" t="s">
        <v>4</v>
      </c>
      <c r="N35" s="221"/>
      <c r="O35" s="60" t="s">
        <v>179</v>
      </c>
      <c r="P35" s="60">
        <v>90</v>
      </c>
      <c r="Q35" s="611"/>
      <c r="R35" s="15"/>
      <c r="S35" s="15"/>
    </row>
    <row r="36" spans="2:22" ht="18.75" customHeight="1" x14ac:dyDescent="0.25">
      <c r="B36" s="625" t="s">
        <v>732</v>
      </c>
      <c r="C36" s="1724"/>
      <c r="D36" s="1725"/>
      <c r="E36" s="1724"/>
      <c r="F36" s="1725"/>
      <c r="G36" s="1724"/>
      <c r="H36" s="1725"/>
      <c r="I36" s="1724"/>
      <c r="J36" s="1725"/>
      <c r="K36" s="1724"/>
      <c r="L36" s="1725"/>
      <c r="M36" s="624"/>
      <c r="N36" s="221"/>
      <c r="O36" s="60" t="s">
        <v>819</v>
      </c>
      <c r="P36" s="519">
        <v>70</v>
      </c>
      <c r="Q36" s="611" t="s">
        <v>1243</v>
      </c>
      <c r="R36" s="15"/>
      <c r="S36" s="80"/>
    </row>
    <row r="37" spans="2:22" ht="18.75" customHeight="1" x14ac:dyDescent="0.25">
      <c r="B37" s="626" t="s">
        <v>257</v>
      </c>
      <c r="C37" s="1726">
        <v>0</v>
      </c>
      <c r="D37" s="1727"/>
      <c r="E37" s="1726">
        <v>0</v>
      </c>
      <c r="F37" s="1727"/>
      <c r="G37" s="1726">
        <v>0</v>
      </c>
      <c r="H37" s="1727"/>
      <c r="I37" s="1726">
        <v>0</v>
      </c>
      <c r="J37" s="1727"/>
      <c r="K37" s="1726">
        <v>0</v>
      </c>
      <c r="L37" s="1727"/>
      <c r="M37" s="138" t="s">
        <v>491</v>
      </c>
      <c r="N37" s="13"/>
      <c r="O37" s="519" t="s">
        <v>820</v>
      </c>
      <c r="P37" s="519">
        <v>60</v>
      </c>
      <c r="Q37" s="611" t="s">
        <v>1244</v>
      </c>
      <c r="R37" s="15"/>
      <c r="S37" s="80"/>
    </row>
    <row r="38" spans="2:22" ht="18.75" customHeight="1" x14ac:dyDescent="0.25">
      <c r="B38" s="144" t="s">
        <v>258</v>
      </c>
      <c r="C38" s="1726">
        <v>0</v>
      </c>
      <c r="D38" s="1727"/>
      <c r="E38" s="1726">
        <v>0</v>
      </c>
      <c r="F38" s="1727"/>
      <c r="G38" s="1726">
        <v>0</v>
      </c>
      <c r="H38" s="1727"/>
      <c r="I38" s="1726">
        <v>0</v>
      </c>
      <c r="J38" s="1727"/>
      <c r="K38" s="1726">
        <v>0</v>
      </c>
      <c r="L38" s="1727"/>
      <c r="M38" s="139" t="s">
        <v>492</v>
      </c>
      <c r="N38" s="222"/>
      <c r="O38" s="60" t="s">
        <v>48</v>
      </c>
      <c r="P38" s="519">
        <v>60</v>
      </c>
      <c r="Q38" s="611"/>
      <c r="R38" s="15"/>
      <c r="S38" s="80"/>
    </row>
    <row r="39" spans="2:22" ht="18.75" customHeight="1" x14ac:dyDescent="0.25">
      <c r="B39" s="144" t="s">
        <v>259</v>
      </c>
      <c r="C39" s="1726">
        <v>0</v>
      </c>
      <c r="D39" s="1727"/>
      <c r="E39" s="1726">
        <v>0</v>
      </c>
      <c r="F39" s="1727"/>
      <c r="G39" s="1726">
        <v>0</v>
      </c>
      <c r="H39" s="1727"/>
      <c r="I39" s="1726">
        <v>0</v>
      </c>
      <c r="J39" s="1727"/>
      <c r="K39" s="1726">
        <v>0</v>
      </c>
      <c r="L39" s="1727"/>
      <c r="M39" s="139" t="s">
        <v>260</v>
      </c>
      <c r="N39" s="222"/>
      <c r="O39" s="60" t="s">
        <v>821</v>
      </c>
      <c r="P39" s="60">
        <v>45</v>
      </c>
      <c r="Q39" s="611"/>
      <c r="R39" s="15"/>
      <c r="S39" s="80"/>
    </row>
    <row r="40" spans="2:22" ht="18.75" customHeight="1" x14ac:dyDescent="0.25">
      <c r="B40" s="625" t="s">
        <v>731</v>
      </c>
      <c r="C40" s="1724"/>
      <c r="D40" s="1725"/>
      <c r="E40" s="1724"/>
      <c r="F40" s="1725"/>
      <c r="G40" s="1724"/>
      <c r="H40" s="1725"/>
      <c r="I40" s="1724"/>
      <c r="J40" s="1725"/>
      <c r="K40" s="1724"/>
      <c r="L40" s="1725"/>
      <c r="M40" s="624"/>
      <c r="N40" s="223"/>
      <c r="O40" s="519" t="s">
        <v>816</v>
      </c>
      <c r="P40" s="519">
        <v>30</v>
      </c>
      <c r="Q40" s="611"/>
      <c r="R40" s="15"/>
      <c r="S40" s="80"/>
    </row>
    <row r="41" spans="2:22" ht="18.75" customHeight="1" x14ac:dyDescent="0.25">
      <c r="B41" s="626" t="s">
        <v>257</v>
      </c>
      <c r="C41" s="1726">
        <v>0</v>
      </c>
      <c r="D41" s="1727"/>
      <c r="E41" s="1726">
        <v>0</v>
      </c>
      <c r="F41" s="1727"/>
      <c r="G41" s="1726">
        <v>0</v>
      </c>
      <c r="H41" s="1727"/>
      <c r="I41" s="1726">
        <v>0</v>
      </c>
      <c r="J41" s="1727"/>
      <c r="K41" s="1726">
        <v>0</v>
      </c>
      <c r="L41" s="1727"/>
      <c r="M41" s="138" t="s">
        <v>491</v>
      </c>
      <c r="N41" s="137"/>
      <c r="O41" s="60" t="s">
        <v>1034</v>
      </c>
      <c r="P41" s="519">
        <v>30</v>
      </c>
      <c r="Q41" s="611"/>
      <c r="R41" s="15"/>
      <c r="S41" s="80"/>
    </row>
    <row r="42" spans="2:22" ht="18.75" customHeight="1" x14ac:dyDescent="0.25">
      <c r="B42" s="144" t="s">
        <v>258</v>
      </c>
      <c r="C42" s="1726">
        <v>0</v>
      </c>
      <c r="D42" s="1727"/>
      <c r="E42" s="1726">
        <v>0</v>
      </c>
      <c r="F42" s="1727"/>
      <c r="G42" s="1726">
        <v>0</v>
      </c>
      <c r="H42" s="1727"/>
      <c r="I42" s="1726">
        <v>0</v>
      </c>
      <c r="J42" s="1727"/>
      <c r="K42" s="1726">
        <v>0</v>
      </c>
      <c r="L42" s="1727"/>
      <c r="M42" s="139" t="s">
        <v>492</v>
      </c>
      <c r="O42" s="60" t="s">
        <v>825</v>
      </c>
      <c r="P42" s="519">
        <v>30</v>
      </c>
      <c r="Q42" s="611"/>
      <c r="R42" s="15"/>
      <c r="S42" s="80"/>
    </row>
    <row r="43" spans="2:22" ht="18.75" customHeight="1" x14ac:dyDescent="0.25">
      <c r="B43" s="144" t="s">
        <v>259</v>
      </c>
      <c r="C43" s="1726">
        <v>0</v>
      </c>
      <c r="D43" s="1727"/>
      <c r="E43" s="1726">
        <v>0</v>
      </c>
      <c r="F43" s="1727"/>
      <c r="G43" s="1726">
        <v>0</v>
      </c>
      <c r="H43" s="1727"/>
      <c r="I43" s="1726">
        <v>0</v>
      </c>
      <c r="J43" s="1727"/>
      <c r="K43" s="1726">
        <v>0</v>
      </c>
      <c r="L43" s="1727"/>
      <c r="M43" s="139" t="s">
        <v>260</v>
      </c>
      <c r="N43" s="80"/>
      <c r="O43" s="60" t="s">
        <v>817</v>
      </c>
      <c r="P43" s="519">
        <v>25</v>
      </c>
      <c r="Q43" s="611"/>
      <c r="U43" s="80"/>
    </row>
    <row r="44" spans="2:22" ht="18.75" customHeight="1" x14ac:dyDescent="0.25">
      <c r="B44" s="144" t="s">
        <v>736</v>
      </c>
      <c r="C44" s="1728">
        <f>(C37*C38*C39/100)+(C41*C42*C43/100)</f>
        <v>0</v>
      </c>
      <c r="D44" s="1728"/>
      <c r="E44" s="1728">
        <f t="shared" ref="E44" si="11">(E37*E38*E39/100)+(E41*E42*E43/100)</f>
        <v>0</v>
      </c>
      <c r="F44" s="1728"/>
      <c r="G44" s="1728">
        <f t="shared" ref="G44" si="12">(G37*G38*G39/100)+(G41*G42*G43/100)</f>
        <v>0</v>
      </c>
      <c r="H44" s="1728"/>
      <c r="I44" s="1728">
        <f t="shared" ref="I44" si="13">(I37*I38*I39/100)+(I41*I42*I43/100)</f>
        <v>0</v>
      </c>
      <c r="J44" s="1728"/>
      <c r="K44" s="1728">
        <f t="shared" ref="K44" si="14">(K37*K38*K39/100)+(K41*K42*K43/100)</f>
        <v>0</v>
      </c>
      <c r="L44" s="1728"/>
      <c r="M44" s="135" t="s">
        <v>4</v>
      </c>
      <c r="N44" s="80"/>
      <c r="O44" s="519" t="s">
        <v>818</v>
      </c>
      <c r="P44" s="519">
        <v>25</v>
      </c>
      <c r="Q44" s="611"/>
      <c r="U44" s="80"/>
    </row>
    <row r="45" spans="2:22" ht="18.75" customHeight="1" x14ac:dyDescent="0.25">
      <c r="B45" s="627" t="s">
        <v>136</v>
      </c>
      <c r="C45" s="1645">
        <f>C35-C44</f>
        <v>0</v>
      </c>
      <c r="D45" s="1645"/>
      <c r="E45" s="1645">
        <f>E35-E44</f>
        <v>153.6</v>
      </c>
      <c r="F45" s="1645"/>
      <c r="G45" s="1645">
        <f>G35-G44</f>
        <v>26</v>
      </c>
      <c r="H45" s="1645"/>
      <c r="I45" s="1645">
        <f>I35-I44</f>
        <v>93.199999999999989</v>
      </c>
      <c r="J45" s="1645"/>
      <c r="K45" s="1645">
        <f>K35-K44</f>
        <v>114</v>
      </c>
      <c r="L45" s="1645"/>
      <c r="M45" s="136" t="s">
        <v>4</v>
      </c>
      <c r="N45"/>
      <c r="O45" s="519" t="s">
        <v>826</v>
      </c>
      <c r="P45" s="519">
        <v>10</v>
      </c>
      <c r="Q45" s="611"/>
      <c r="U45" s="80"/>
    </row>
    <row r="46" spans="2:22" ht="18.75" customHeight="1" x14ac:dyDescent="0.25">
      <c r="B46" s="41"/>
      <c r="N46"/>
      <c r="O46" s="519" t="s">
        <v>181</v>
      </c>
      <c r="P46" s="519">
        <v>10</v>
      </c>
      <c r="Q46" s="611"/>
      <c r="U46" s="80"/>
    </row>
    <row r="47" spans="2:22" ht="18.75" customHeight="1" x14ac:dyDescent="0.25">
      <c r="B47" s="302"/>
      <c r="C47" s="68"/>
      <c r="D47" s="111"/>
      <c r="E47" s="111"/>
      <c r="F47" s="177"/>
      <c r="G47" s="176" t="s">
        <v>212</v>
      </c>
      <c r="H47" s="177"/>
      <c r="I47" s="69"/>
      <c r="M47" s="80"/>
      <c r="N47"/>
      <c r="Q47"/>
      <c r="V47" s="80"/>
    </row>
    <row r="48" spans="2:22" ht="15.75" x14ac:dyDescent="0.25">
      <c r="B48" s="127"/>
      <c r="D48" s="121" t="s">
        <v>199</v>
      </c>
      <c r="I48" s="71"/>
      <c r="J48" s="80"/>
      <c r="K48" s="80"/>
      <c r="L48" s="15"/>
      <c r="M48" s="80"/>
      <c r="N48"/>
      <c r="O48" s="9"/>
      <c r="P48" s="3"/>
      <c r="Q48"/>
      <c r="V48" s="80"/>
    </row>
    <row r="49" spans="1:22" x14ac:dyDescent="0.25">
      <c r="B49" s="127"/>
      <c r="C49" s="41" t="s">
        <v>208</v>
      </c>
      <c r="D49" s="112" t="s">
        <v>206</v>
      </c>
      <c r="E49" s="112" t="s">
        <v>207</v>
      </c>
      <c r="F49" s="80"/>
      <c r="G49" s="17" t="s">
        <v>264</v>
      </c>
      <c r="H49" s="148" t="s">
        <v>213</v>
      </c>
      <c r="I49" s="707"/>
      <c r="J49" s="400"/>
      <c r="K49" s="400"/>
      <c r="L49" s="17"/>
      <c r="M49" s="80"/>
      <c r="N49"/>
      <c r="O49" s="9"/>
      <c r="P49" s="3"/>
      <c r="Q49"/>
    </row>
    <row r="50" spans="1:22" x14ac:dyDescent="0.25">
      <c r="B50" s="70" t="s">
        <v>461</v>
      </c>
      <c r="C50" s="41"/>
      <c r="D50" s="112" t="s">
        <v>463</v>
      </c>
      <c r="E50" s="112" t="s">
        <v>463</v>
      </c>
      <c r="F50" s="80"/>
      <c r="G50" s="80" t="s">
        <v>462</v>
      </c>
      <c r="H50" s="80" t="s">
        <v>463</v>
      </c>
      <c r="I50" s="707"/>
      <c r="J50" s="400"/>
      <c r="K50" s="400"/>
      <c r="L50" s="17"/>
      <c r="M50"/>
      <c r="N50"/>
      <c r="O50" s="9"/>
      <c r="P50" s="3"/>
      <c r="Q50"/>
    </row>
    <row r="51" spans="1:22" x14ac:dyDescent="0.25">
      <c r="B51" s="127"/>
      <c r="C51" s="41" t="s">
        <v>85</v>
      </c>
      <c r="D51" s="80">
        <v>90</v>
      </c>
      <c r="E51" s="80">
        <v>65</v>
      </c>
      <c r="F51" s="80"/>
      <c r="G51" s="400">
        <v>100</v>
      </c>
      <c r="H51" s="400">
        <v>50</v>
      </c>
      <c r="I51" s="707"/>
      <c r="J51" s="400"/>
      <c r="K51" s="400"/>
      <c r="L51" s="17"/>
      <c r="M51"/>
      <c r="N51"/>
      <c r="O51" s="9"/>
      <c r="P51" s="3"/>
      <c r="Q51"/>
    </row>
    <row r="52" spans="1:22" x14ac:dyDescent="0.25">
      <c r="B52" s="127"/>
      <c r="C52" s="41" t="s">
        <v>201</v>
      </c>
      <c r="D52" s="80">
        <v>18</v>
      </c>
      <c r="E52" s="80">
        <v>12.5</v>
      </c>
      <c r="F52" s="80"/>
      <c r="G52" s="400">
        <v>18</v>
      </c>
      <c r="H52" s="400">
        <v>12</v>
      </c>
      <c r="I52" s="707"/>
      <c r="J52" s="400"/>
      <c r="K52" s="400"/>
      <c r="L52" s="17"/>
      <c r="M52"/>
      <c r="N52"/>
      <c r="O52" s="9"/>
      <c r="P52" s="3"/>
      <c r="Q52"/>
    </row>
    <row r="53" spans="1:22" ht="22.5" customHeight="1" x14ac:dyDescent="0.25">
      <c r="B53" s="306"/>
      <c r="C53" s="85" t="s">
        <v>204</v>
      </c>
      <c r="D53" s="86">
        <f>D51*D52*0.5/6.25</f>
        <v>129.6</v>
      </c>
      <c r="E53" s="86">
        <f>E51*E52*0.5/6.25</f>
        <v>65</v>
      </c>
      <c r="F53" s="86"/>
      <c r="G53" s="86">
        <f>G51*G52*0.75/6.25</f>
        <v>216</v>
      </c>
      <c r="H53" s="86">
        <f t="shared" ref="H53" si="15">H51*H52*0.5/6.25</f>
        <v>48</v>
      </c>
      <c r="I53" s="708"/>
      <c r="J53" s="80"/>
      <c r="K53" s="80"/>
      <c r="L53" s="15"/>
      <c r="M53"/>
      <c r="N53"/>
      <c r="O53" s="9"/>
      <c r="P53" s="3"/>
      <c r="Q53"/>
    </row>
    <row r="54" spans="1:22" ht="22.5" customHeight="1" x14ac:dyDescent="0.25">
      <c r="F54" s="80"/>
      <c r="G54" s="80"/>
      <c r="H54" s="80"/>
      <c r="I54" s="80"/>
      <c r="J54" s="80"/>
      <c r="K54" s="80"/>
      <c r="L54" s="15"/>
      <c r="M54"/>
      <c r="N54"/>
      <c r="O54" s="9"/>
      <c r="P54" s="3"/>
      <c r="Q54"/>
    </row>
    <row r="55" spans="1:22" ht="22.5" customHeight="1" x14ac:dyDescent="0.25">
      <c r="C55" s="1710" t="s">
        <v>209</v>
      </c>
      <c r="D55" s="1293"/>
      <c r="E55" s="1293"/>
      <c r="F55" s="1293"/>
      <c r="G55" s="1293"/>
      <c r="H55" s="1293"/>
      <c r="I55" s="1293"/>
      <c r="J55" s="400"/>
      <c r="K55" s="400"/>
      <c r="L55" s="17"/>
      <c r="M55"/>
      <c r="N55"/>
      <c r="O55" s="9"/>
      <c r="P55" s="3"/>
      <c r="Q55"/>
    </row>
    <row r="56" spans="1:22" x14ac:dyDescent="0.25">
      <c r="C56" s="1293"/>
      <c r="D56" s="1293"/>
      <c r="E56" s="1293"/>
      <c r="F56" s="1293"/>
      <c r="G56" s="1293"/>
      <c r="H56" s="1293"/>
      <c r="I56" s="1293"/>
      <c r="J56" s="400"/>
      <c r="K56" s="400"/>
      <c r="L56" s="17"/>
      <c r="M56"/>
      <c r="N56"/>
      <c r="O56" s="9"/>
      <c r="P56" s="3"/>
      <c r="Q56"/>
    </row>
    <row r="57" spans="1:22" x14ac:dyDescent="0.25">
      <c r="C57" s="1293"/>
      <c r="D57" s="1293"/>
      <c r="E57" s="1293"/>
      <c r="F57" s="1293"/>
      <c r="G57" s="1293"/>
      <c r="H57" s="1293"/>
      <c r="I57" s="1293"/>
      <c r="J57" s="400"/>
      <c r="K57" s="400"/>
      <c r="L57" s="17"/>
      <c r="M57"/>
      <c r="N57"/>
      <c r="O57" s="9"/>
      <c r="P57" s="3"/>
      <c r="Q57"/>
    </row>
    <row r="58" spans="1:22" x14ac:dyDescent="0.25">
      <c r="B58" s="1270" t="s">
        <v>464</v>
      </c>
      <c r="C58" s="1463"/>
      <c r="D58" s="1463"/>
      <c r="E58" s="1463"/>
      <c r="F58" s="1463"/>
      <c r="G58" s="1463"/>
      <c r="H58" s="1463"/>
      <c r="I58" s="1463"/>
      <c r="J58" s="1463"/>
      <c r="K58" s="80"/>
      <c r="M58"/>
      <c r="N58"/>
      <c r="O58" s="9"/>
      <c r="P58" s="3"/>
      <c r="Q58"/>
    </row>
    <row r="59" spans="1:22" x14ac:dyDescent="0.25">
      <c r="B59" s="1463"/>
      <c r="C59" s="1463"/>
      <c r="D59" s="1463"/>
      <c r="E59" s="1463"/>
      <c r="F59" s="1463"/>
      <c r="G59" s="1463"/>
      <c r="H59" s="1463"/>
      <c r="I59" s="1463"/>
      <c r="J59" s="1463"/>
      <c r="K59" s="80"/>
      <c r="M59"/>
      <c r="N59"/>
      <c r="O59" s="9"/>
      <c r="P59" s="3"/>
      <c r="Q59"/>
    </row>
    <row r="60" spans="1:22" x14ac:dyDescent="0.25">
      <c r="B60" s="1463"/>
      <c r="C60" s="1463"/>
      <c r="D60" s="1463"/>
      <c r="E60" s="1463"/>
      <c r="F60" s="1463"/>
      <c r="G60" s="1463"/>
      <c r="H60" s="1463"/>
      <c r="I60" s="1463"/>
      <c r="J60" s="1463"/>
      <c r="K60" s="80"/>
      <c r="M60"/>
      <c r="O60" s="9"/>
      <c r="P60" s="3"/>
      <c r="Q60"/>
    </row>
    <row r="61" spans="1:22" x14ac:dyDescent="0.25">
      <c r="B61" s="118"/>
      <c r="D61" s="112"/>
      <c r="F61" s="80"/>
      <c r="K61" s="80"/>
      <c r="M61"/>
      <c r="O61" s="9"/>
      <c r="P61" s="3"/>
      <c r="Q61"/>
    </row>
    <row r="62" spans="1:22" x14ac:dyDescent="0.25">
      <c r="B62" s="118"/>
      <c r="D62" s="112"/>
      <c r="F62" s="80"/>
      <c r="K62" s="80"/>
      <c r="M62"/>
      <c r="O62" s="9"/>
      <c r="P62" s="3"/>
      <c r="Q62"/>
    </row>
    <row r="63" spans="1:22" s="9" customFormat="1" x14ac:dyDescent="0.25">
      <c r="A63" s="32"/>
      <c r="B63" s="118"/>
      <c r="C63" s="112"/>
      <c r="D63" s="112"/>
      <c r="E63" s="80"/>
      <c r="F63" s="80"/>
      <c r="G63" s="15"/>
      <c r="H63" s="15"/>
      <c r="I63" s="15"/>
      <c r="J63" s="15"/>
      <c r="K63" s="80"/>
      <c r="L63" s="80"/>
      <c r="M63"/>
      <c r="N63" s="15"/>
      <c r="Q63" s="3"/>
      <c r="R63"/>
      <c r="S63"/>
      <c r="T63"/>
      <c r="U63"/>
      <c r="V63"/>
    </row>
    <row r="64" spans="1:22" s="9" customFormat="1" x14ac:dyDescent="0.25">
      <c r="A64" s="32"/>
      <c r="B64" s="118"/>
      <c r="C64" s="112"/>
      <c r="D64" s="112"/>
      <c r="E64" s="80"/>
      <c r="F64" s="80"/>
      <c r="G64" s="15"/>
      <c r="H64" s="15"/>
      <c r="I64" s="15"/>
      <c r="J64" s="15"/>
      <c r="K64" s="80"/>
      <c r="L64" s="80"/>
      <c r="M64"/>
      <c r="N64" s="15"/>
      <c r="Q64" s="3"/>
      <c r="R64"/>
      <c r="S64"/>
      <c r="T64"/>
      <c r="U64"/>
      <c r="V64"/>
    </row>
    <row r="65" spans="1:22" s="9" customFormat="1" x14ac:dyDescent="0.25">
      <c r="A65" s="32"/>
      <c r="B65" s="118"/>
      <c r="C65" s="112"/>
      <c r="D65" s="112"/>
      <c r="E65" s="80"/>
      <c r="F65" s="80"/>
      <c r="G65" s="15"/>
      <c r="H65" s="15"/>
      <c r="I65" s="15"/>
      <c r="J65" s="15"/>
      <c r="K65" s="80"/>
      <c r="L65" s="80"/>
      <c r="M65" s="15"/>
      <c r="N65" s="15"/>
      <c r="O65"/>
      <c r="Q65" s="3"/>
      <c r="R65"/>
      <c r="S65"/>
      <c r="T65"/>
      <c r="U65"/>
      <c r="V65"/>
    </row>
    <row r="66" spans="1:22" s="9" customFormat="1" x14ac:dyDescent="0.25">
      <c r="A66" s="32"/>
      <c r="B66" s="118"/>
      <c r="C66" s="112"/>
      <c r="D66" s="112"/>
      <c r="E66" s="80"/>
      <c r="F66" s="80"/>
      <c r="G66" s="15"/>
      <c r="H66" s="15"/>
      <c r="I66" s="15"/>
      <c r="J66" s="15"/>
      <c r="K66" s="80"/>
      <c r="L66" s="80"/>
      <c r="M66" s="15"/>
      <c r="N66" s="15"/>
      <c r="O66"/>
      <c r="Q66" s="3"/>
      <c r="R66"/>
      <c r="S66"/>
      <c r="T66"/>
      <c r="U66"/>
      <c r="V66"/>
    </row>
    <row r="67" spans="1:22" s="9" customFormat="1" x14ac:dyDescent="0.25">
      <c r="A67" s="32"/>
      <c r="B67" s="41"/>
      <c r="C67" s="112"/>
      <c r="D67" s="112"/>
      <c r="E67" s="80"/>
      <c r="F67" s="80"/>
      <c r="G67" s="15"/>
      <c r="H67" s="15"/>
      <c r="I67" s="15"/>
      <c r="J67" s="15"/>
      <c r="K67" s="80"/>
      <c r="L67" s="80"/>
      <c r="M67" s="15"/>
      <c r="N67" s="15"/>
      <c r="O67"/>
      <c r="Q67" s="3"/>
      <c r="R67"/>
      <c r="S67"/>
      <c r="T67"/>
      <c r="U67"/>
      <c r="V67"/>
    </row>
    <row r="68" spans="1:22" s="9" customFormat="1" x14ac:dyDescent="0.25">
      <c r="A68" s="32"/>
      <c r="B68" s="41"/>
      <c r="C68" s="112"/>
      <c r="D68" s="112"/>
      <c r="E68" s="80"/>
      <c r="F68" s="80"/>
      <c r="G68" s="15"/>
      <c r="H68" s="15"/>
      <c r="I68" s="15"/>
      <c r="J68" s="15"/>
      <c r="K68" s="80"/>
      <c r="L68" s="80"/>
      <c r="M68" s="15"/>
      <c r="N68" s="15"/>
      <c r="O68"/>
      <c r="Q68" s="3"/>
      <c r="R68"/>
      <c r="S68"/>
      <c r="T68"/>
      <c r="U68"/>
      <c r="V68"/>
    </row>
    <row r="69" spans="1:22" s="9" customFormat="1" x14ac:dyDescent="0.25">
      <c r="A69" s="32"/>
      <c r="B69" s="41"/>
      <c r="C69" s="112"/>
      <c r="D69" s="112"/>
      <c r="E69" s="80"/>
      <c r="F69" s="80"/>
      <c r="G69" s="15"/>
      <c r="H69" s="15"/>
      <c r="I69" s="15"/>
      <c r="J69" s="15"/>
      <c r="K69" s="80"/>
      <c r="L69" s="80"/>
      <c r="M69" s="15"/>
      <c r="N69" s="15"/>
      <c r="O69"/>
      <c r="Q69" s="3"/>
      <c r="R69"/>
      <c r="S69"/>
      <c r="T69"/>
      <c r="U69"/>
      <c r="V69"/>
    </row>
    <row r="70" spans="1:22" s="9" customFormat="1" x14ac:dyDescent="0.25">
      <c r="A70" s="32"/>
      <c r="B70" s="41"/>
      <c r="C70" s="112"/>
      <c r="D70" s="112"/>
      <c r="E70" s="80"/>
      <c r="F70" s="80"/>
      <c r="G70" s="15"/>
      <c r="H70" s="15"/>
      <c r="I70" s="15"/>
      <c r="J70" s="15"/>
      <c r="K70" s="80"/>
      <c r="L70" s="80"/>
      <c r="M70" s="15"/>
      <c r="N70" s="15"/>
      <c r="O70"/>
      <c r="Q70" s="3"/>
      <c r="R70"/>
      <c r="S70"/>
      <c r="T70"/>
      <c r="U70"/>
      <c r="V70"/>
    </row>
    <row r="71" spans="1:22" s="9" customFormat="1" x14ac:dyDescent="0.25">
      <c r="A71" s="32"/>
      <c r="B71" s="41"/>
      <c r="C71" s="112"/>
      <c r="D71" s="112"/>
      <c r="E71" s="80"/>
      <c r="F71" s="80"/>
      <c r="G71" s="15"/>
      <c r="H71" s="15"/>
      <c r="I71" s="15"/>
      <c r="J71" s="15"/>
      <c r="K71" s="80"/>
      <c r="L71" s="80"/>
      <c r="M71" s="15"/>
      <c r="N71" s="15"/>
      <c r="O71"/>
      <c r="Q71" s="3"/>
      <c r="R71"/>
      <c r="S71"/>
      <c r="T71"/>
      <c r="U71"/>
      <c r="V71"/>
    </row>
    <row r="72" spans="1:22" s="9" customFormat="1" x14ac:dyDescent="0.25">
      <c r="A72" s="32"/>
      <c r="B72" s="41"/>
      <c r="C72" s="112"/>
      <c r="D72" s="112"/>
      <c r="E72" s="80"/>
      <c r="F72" s="80"/>
      <c r="G72" s="15"/>
      <c r="H72" s="15"/>
      <c r="I72" s="15"/>
      <c r="J72" s="15"/>
      <c r="K72" s="80"/>
      <c r="L72" s="80"/>
      <c r="M72" s="15"/>
      <c r="N72" s="15"/>
      <c r="O72"/>
      <c r="Q72" s="3"/>
      <c r="R72"/>
      <c r="S72"/>
      <c r="T72"/>
      <c r="U72"/>
      <c r="V72"/>
    </row>
    <row r="73" spans="1:22" s="9" customFormat="1" x14ac:dyDescent="0.25">
      <c r="A73" s="32"/>
      <c r="B73" s="41"/>
      <c r="C73" s="112"/>
      <c r="D73" s="112"/>
      <c r="E73" s="80"/>
      <c r="F73" s="80"/>
      <c r="G73" s="15"/>
      <c r="H73" s="15"/>
      <c r="I73" s="15"/>
      <c r="J73" s="15"/>
      <c r="K73" s="15"/>
      <c r="L73" s="80"/>
      <c r="M73" s="15"/>
      <c r="N73" s="15"/>
      <c r="O73"/>
      <c r="Q73" s="3"/>
      <c r="R73"/>
      <c r="S73"/>
      <c r="T73"/>
      <c r="U73"/>
      <c r="V73"/>
    </row>
  </sheetData>
  <sheetProtection sheet="1" formatCells="0" formatColumns="0" formatRows="0" selectLockedCells="1"/>
  <mergeCells count="142">
    <mergeCell ref="C55:I57"/>
    <mergeCell ref="B58:J60"/>
    <mergeCell ref="C44:D44"/>
    <mergeCell ref="E44:F44"/>
    <mergeCell ref="G44:H44"/>
    <mergeCell ref="I44:J44"/>
    <mergeCell ref="K44:L44"/>
    <mergeCell ref="C45:D45"/>
    <mergeCell ref="E45:F45"/>
    <mergeCell ref="G45:H45"/>
    <mergeCell ref="I45:J45"/>
    <mergeCell ref="K45:L45"/>
    <mergeCell ref="C43:D43"/>
    <mergeCell ref="E43:F43"/>
    <mergeCell ref="G43:H43"/>
    <mergeCell ref="I43:J43"/>
    <mergeCell ref="K43:L43"/>
    <mergeCell ref="C41:D41"/>
    <mergeCell ref="E41:F41"/>
    <mergeCell ref="G41:H41"/>
    <mergeCell ref="I41:J41"/>
    <mergeCell ref="K41:L41"/>
    <mergeCell ref="C42:D42"/>
    <mergeCell ref="E42:F42"/>
    <mergeCell ref="G42:H42"/>
    <mergeCell ref="I42:J42"/>
    <mergeCell ref="K42:L42"/>
    <mergeCell ref="C40:D40"/>
    <mergeCell ref="E40:F40"/>
    <mergeCell ref="G40:H40"/>
    <mergeCell ref="I40:J40"/>
    <mergeCell ref="K40:L40"/>
    <mergeCell ref="C38:D38"/>
    <mergeCell ref="E38:F38"/>
    <mergeCell ref="G38:H38"/>
    <mergeCell ref="I38:J38"/>
    <mergeCell ref="K38:L38"/>
    <mergeCell ref="C39:D39"/>
    <mergeCell ref="E39:F39"/>
    <mergeCell ref="G39:H39"/>
    <mergeCell ref="I39:J39"/>
    <mergeCell ref="K39:L39"/>
    <mergeCell ref="C36:D36"/>
    <mergeCell ref="E36:F36"/>
    <mergeCell ref="G36:H36"/>
    <mergeCell ref="I36:J36"/>
    <mergeCell ref="K36:L36"/>
    <mergeCell ref="C37:D37"/>
    <mergeCell ref="E37:F37"/>
    <mergeCell ref="G37:H37"/>
    <mergeCell ref="I37:J37"/>
    <mergeCell ref="K37:L37"/>
    <mergeCell ref="C30:D30"/>
    <mergeCell ref="E30:F30"/>
    <mergeCell ref="G30:H30"/>
    <mergeCell ref="I30:J30"/>
    <mergeCell ref="K30:L30"/>
    <mergeCell ref="Q33:Q34"/>
    <mergeCell ref="C34:L34"/>
    <mergeCell ref="C35:D35"/>
    <mergeCell ref="E35:F35"/>
    <mergeCell ref="G35:H35"/>
    <mergeCell ref="I35:J35"/>
    <mergeCell ref="K35:L35"/>
    <mergeCell ref="C31:D31"/>
    <mergeCell ref="E31:F31"/>
    <mergeCell ref="G31:H31"/>
    <mergeCell ref="I31:J31"/>
    <mergeCell ref="K31:L31"/>
    <mergeCell ref="C32:D32"/>
    <mergeCell ref="E32:F32"/>
    <mergeCell ref="G32:H32"/>
    <mergeCell ref="I32:J32"/>
    <mergeCell ref="K32:L32"/>
    <mergeCell ref="C28:D28"/>
    <mergeCell ref="E28:F28"/>
    <mergeCell ref="G28:H28"/>
    <mergeCell ref="I28:J28"/>
    <mergeCell ref="K28:L28"/>
    <mergeCell ref="C29:D29"/>
    <mergeCell ref="E29:F29"/>
    <mergeCell ref="G29:H29"/>
    <mergeCell ref="I29:J29"/>
    <mergeCell ref="K29:L29"/>
    <mergeCell ref="C26:D26"/>
    <mergeCell ref="E26:F26"/>
    <mergeCell ref="G26:H26"/>
    <mergeCell ref="I26:J26"/>
    <mergeCell ref="K26:L26"/>
    <mergeCell ref="C27:D27"/>
    <mergeCell ref="E27:F27"/>
    <mergeCell ref="G27:H27"/>
    <mergeCell ref="I27:J27"/>
    <mergeCell ref="K27:L27"/>
    <mergeCell ref="K21:L21"/>
    <mergeCell ref="C23:D23"/>
    <mergeCell ref="E23:F23"/>
    <mergeCell ref="G23:H23"/>
    <mergeCell ref="I23:J23"/>
    <mergeCell ref="K23:L23"/>
    <mergeCell ref="C25:D25"/>
    <mergeCell ref="E25:F25"/>
    <mergeCell ref="G25:H25"/>
    <mergeCell ref="I25:J25"/>
    <mergeCell ref="K25:L25"/>
    <mergeCell ref="O9:O24"/>
    <mergeCell ref="C10:D10"/>
    <mergeCell ref="E10:F10"/>
    <mergeCell ref="G10:H10"/>
    <mergeCell ref="I10:J10"/>
    <mergeCell ref="K10:L10"/>
    <mergeCell ref="C11:D11"/>
    <mergeCell ref="E11:F11"/>
    <mergeCell ref="G11:H11"/>
    <mergeCell ref="I11:J11"/>
    <mergeCell ref="C14:D14"/>
    <mergeCell ref="E14:F14"/>
    <mergeCell ref="G14:H14"/>
    <mergeCell ref="I14:J14"/>
    <mergeCell ref="K14:L14"/>
    <mergeCell ref="C15:D15"/>
    <mergeCell ref="E15:F15"/>
    <mergeCell ref="G15:H15"/>
    <mergeCell ref="I15:J15"/>
    <mergeCell ref="K15:L15"/>
    <mergeCell ref="C21:D21"/>
    <mergeCell ref="E21:F21"/>
    <mergeCell ref="G21:H21"/>
    <mergeCell ref="I21:J21"/>
    <mergeCell ref="B5:M5"/>
    <mergeCell ref="C7:L7"/>
    <mergeCell ref="C9:D9"/>
    <mergeCell ref="E9:F9"/>
    <mergeCell ref="G9:H9"/>
    <mergeCell ref="I9:J9"/>
    <mergeCell ref="K9:L9"/>
    <mergeCell ref="K11:L11"/>
    <mergeCell ref="C12:D12"/>
    <mergeCell ref="E12:F12"/>
    <mergeCell ref="G12:H12"/>
    <mergeCell ref="I12:J12"/>
    <mergeCell ref="K12:L12"/>
  </mergeCells>
  <dataValidations count="3">
    <dataValidation type="list" allowBlank="1" sqref="K19 I19 G19 E19 C19" xr:uid="{00000000-0002-0000-2000-000000000000}">
      <formula1>$P$18:$P$21</formula1>
    </dataValidation>
    <dataValidation type="list" allowBlank="1" showInputMessage="1" showErrorMessage="1" sqref="C10:L10" xr:uid="{00000000-0002-0000-2000-000001000000}">
      <formula1>"24 Std., 12 Std."</formula1>
    </dataValidation>
    <dataValidation type="list" allowBlank="1" sqref="E17 G17 K17 C17 I17" xr:uid="{00000000-0002-0000-2000-000002000000}">
      <formula1>Vorfrucht</formula1>
    </dataValidation>
  </dataValidations>
  <pageMargins left="0.25" right="0.25" top="0.75" bottom="0.75" header="0.3" footer="0.3"/>
  <pageSetup paperSize="9" scale="61" orientation="landscape" horizontalDpi="4294967293" verticalDpi="4294967293"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Tabelle45">
    <tabColor theme="0" tint="-4.9989318521683403E-2"/>
    <pageSetUpPr fitToPage="1"/>
  </sheetPr>
  <dimension ref="A1:V61"/>
  <sheetViews>
    <sheetView zoomScaleNormal="100" workbookViewId="0">
      <selection activeCell="C9" sqref="C9:D9"/>
    </sheetView>
  </sheetViews>
  <sheetFormatPr baseColWidth="10" defaultRowHeight="15" x14ac:dyDescent="0.25"/>
  <cols>
    <col min="1" max="1" width="6.28515625" style="32" customWidth="1"/>
    <col min="2" max="2" width="45.7109375" style="41" customWidth="1"/>
    <col min="3" max="3" width="8.85546875" style="112" customWidth="1"/>
    <col min="4" max="4" width="9.42578125" style="80" customWidth="1"/>
    <col min="5" max="5" width="9.28515625" style="80" customWidth="1"/>
    <col min="6" max="6" width="9.7109375" style="15" customWidth="1"/>
    <col min="7" max="7" width="9.140625" style="15" customWidth="1"/>
    <col min="8" max="8" width="9.7109375" style="15" customWidth="1"/>
    <col min="9" max="9" width="10.140625" style="15" customWidth="1"/>
    <col min="10" max="10" width="9.7109375" style="15" customWidth="1"/>
    <col min="11" max="11" width="9" style="15" customWidth="1"/>
    <col min="12" max="12" width="9.5703125" style="80" customWidth="1"/>
    <col min="13" max="13" width="29.140625" customWidth="1"/>
    <col min="14" max="14" width="4.42578125" customWidth="1"/>
    <col min="15" max="15" width="32.5703125" customWidth="1"/>
    <col min="16" max="16" width="27.7109375" style="9" customWidth="1"/>
    <col min="17" max="17" width="22" style="3" customWidth="1"/>
    <col min="18" max="18" width="25.42578125" customWidth="1"/>
    <col min="19" max="19" width="24.28515625" customWidth="1"/>
    <col min="20" max="20" width="13.28515625" customWidth="1"/>
    <col min="21" max="21" width="19.42578125" customWidth="1"/>
    <col min="23" max="25" width="22.42578125" customWidth="1"/>
  </cols>
  <sheetData>
    <row r="1" spans="1:17" x14ac:dyDescent="0.25">
      <c r="B1" s="112" t="str">
        <f>'DüV-N-Ackerbau (1)'!C1</f>
        <v>Testbetrieb</v>
      </c>
      <c r="C1" s="112" t="str">
        <f>'DüV-N-Ackerbau (1)'!F1</f>
        <v>Erntejahr</v>
      </c>
      <c r="M1" s="109" t="s">
        <v>36</v>
      </c>
      <c r="N1" s="2"/>
    </row>
    <row r="2" spans="1:17" x14ac:dyDescent="0.25">
      <c r="B2" s="112">
        <f>'DüV-N-Ackerbau (1)'!C2</f>
        <v>1</v>
      </c>
      <c r="C2" s="112">
        <f>'DüV-N-Ackerbau (1)'!G1</f>
        <v>2022</v>
      </c>
      <c r="M2" s="110" t="s">
        <v>34</v>
      </c>
      <c r="N2" s="2"/>
    </row>
    <row r="3" spans="1:17" x14ac:dyDescent="0.25">
      <c r="B3" s="112">
        <f>'DüV-N-Ackerbau (1)'!C3</f>
        <v>123456</v>
      </c>
      <c r="C3" s="41"/>
    </row>
    <row r="4" spans="1:17" ht="8.25" customHeight="1" thickBot="1" x14ac:dyDescent="0.3">
      <c r="B4" s="112"/>
      <c r="C4" s="41"/>
    </row>
    <row r="5" spans="1:17" ht="20.25" customHeight="1" thickBot="1" x14ac:dyDescent="0.3">
      <c r="B5" s="1397" t="s">
        <v>613</v>
      </c>
      <c r="C5" s="1740"/>
      <c r="D5" s="1740"/>
      <c r="E5" s="1740"/>
      <c r="F5" s="1740"/>
      <c r="G5" s="1740"/>
      <c r="H5" s="1740"/>
      <c r="I5" s="1740"/>
      <c r="J5" s="1740"/>
      <c r="K5" s="1740"/>
      <c r="L5" s="1741"/>
      <c r="M5" s="445"/>
      <c r="N5" s="445"/>
    </row>
    <row r="6" spans="1:17" ht="9" customHeight="1" thickBot="1" x14ac:dyDescent="0.3"/>
    <row r="7" spans="1:17" ht="19.5" thickBot="1" x14ac:dyDescent="0.3">
      <c r="C7" s="1730" t="s">
        <v>198</v>
      </c>
      <c r="D7" s="1731"/>
      <c r="E7" s="1731"/>
      <c r="F7" s="1731"/>
      <c r="G7" s="1731"/>
      <c r="H7" s="1731"/>
      <c r="I7" s="1731"/>
      <c r="J7" s="1731"/>
      <c r="K7" s="1731"/>
      <c r="L7" s="1732"/>
    </row>
    <row r="8" spans="1:17" ht="12" customHeight="1" x14ac:dyDescent="0.25">
      <c r="L8" s="112"/>
      <c r="P8" s="378"/>
    </row>
    <row r="9" spans="1:17" ht="29.25" customHeight="1" x14ac:dyDescent="0.25">
      <c r="B9" s="41" t="s">
        <v>734</v>
      </c>
      <c r="C9" s="1742" t="s">
        <v>470</v>
      </c>
      <c r="D9" s="1742"/>
      <c r="E9" s="1743" t="s">
        <v>471</v>
      </c>
      <c r="F9" s="1744"/>
      <c r="G9" s="1742" t="s">
        <v>2</v>
      </c>
      <c r="H9" s="1742"/>
      <c r="I9" s="1742" t="s">
        <v>472</v>
      </c>
      <c r="J9" s="1742"/>
      <c r="K9" s="1742" t="s">
        <v>473</v>
      </c>
      <c r="L9" s="1742"/>
      <c r="M9" s="704" t="s">
        <v>734</v>
      </c>
      <c r="N9" s="704"/>
      <c r="O9" s="1710" t="s">
        <v>467</v>
      </c>
    </row>
    <row r="10" spans="1:17" ht="29.25" customHeight="1" x14ac:dyDescent="0.25">
      <c r="B10" s="116" t="s">
        <v>211</v>
      </c>
      <c r="C10" s="1742">
        <v>20</v>
      </c>
      <c r="D10" s="1742"/>
      <c r="E10" s="1743">
        <v>40</v>
      </c>
      <c r="F10" s="1744"/>
      <c r="G10" s="1742">
        <v>60</v>
      </c>
      <c r="H10" s="1742"/>
      <c r="I10" s="1742">
        <v>80</v>
      </c>
      <c r="J10" s="1742"/>
      <c r="K10" s="1742">
        <v>80</v>
      </c>
      <c r="L10" s="1742"/>
      <c r="M10" s="704" t="s">
        <v>474</v>
      </c>
      <c r="N10" s="704"/>
      <c r="O10" s="1710"/>
      <c r="P10" s="355" t="s">
        <v>79</v>
      </c>
      <c r="Q10" s="355" t="s">
        <v>5</v>
      </c>
    </row>
    <row r="11" spans="1:17" ht="30" customHeight="1" x14ac:dyDescent="0.25">
      <c r="A11" s="120"/>
      <c r="B11" s="117" t="s">
        <v>469</v>
      </c>
      <c r="C11" s="1734" t="s">
        <v>463</v>
      </c>
      <c r="D11" s="1735"/>
      <c r="E11" s="1734" t="s">
        <v>463</v>
      </c>
      <c r="F11" s="1735"/>
      <c r="G11" s="1734" t="s">
        <v>463</v>
      </c>
      <c r="H11" s="1735"/>
      <c r="I11" s="1734" t="s">
        <v>462</v>
      </c>
      <c r="J11" s="1735"/>
      <c r="K11" s="1734" t="s">
        <v>463</v>
      </c>
      <c r="L11" s="1735"/>
      <c r="M11" s="704"/>
      <c r="N11" s="121"/>
      <c r="O11" s="1678"/>
      <c r="P11" s="378" t="s">
        <v>86</v>
      </c>
      <c r="Q11" s="354">
        <v>10</v>
      </c>
    </row>
    <row r="12" spans="1:17" ht="17.25" customHeight="1" x14ac:dyDescent="0.25">
      <c r="A12" s="120"/>
      <c r="B12" s="120" t="s">
        <v>239</v>
      </c>
      <c r="C12" s="1646">
        <v>98</v>
      </c>
      <c r="D12" s="1714"/>
      <c r="E12" s="1646">
        <v>70</v>
      </c>
      <c r="F12" s="1714"/>
      <c r="G12" s="1646">
        <v>94</v>
      </c>
      <c r="H12" s="1714"/>
      <c r="I12" s="1646">
        <v>80</v>
      </c>
      <c r="J12" s="1714"/>
      <c r="K12" s="1646">
        <v>80</v>
      </c>
      <c r="L12" s="1714"/>
      <c r="M12" s="121" t="s">
        <v>85</v>
      </c>
      <c r="N12" s="121"/>
      <c r="O12" s="1678"/>
      <c r="P12" s="378" t="s">
        <v>87</v>
      </c>
      <c r="Q12" s="354">
        <v>30</v>
      </c>
    </row>
    <row r="13" spans="1:17" ht="17.25" customHeight="1" x14ac:dyDescent="0.25">
      <c r="B13" s="120" t="s">
        <v>73</v>
      </c>
      <c r="C13" s="1711">
        <v>17.2</v>
      </c>
      <c r="D13" s="1712"/>
      <c r="E13" s="1711">
        <v>17</v>
      </c>
      <c r="F13" s="1712"/>
      <c r="G13" s="1711">
        <v>17.600000000000001</v>
      </c>
      <c r="H13" s="1712"/>
      <c r="I13" s="1711">
        <v>17</v>
      </c>
      <c r="J13" s="1712"/>
      <c r="K13" s="1711">
        <v>17</v>
      </c>
      <c r="L13" s="1712"/>
      <c r="M13" s="121" t="s">
        <v>73</v>
      </c>
      <c r="N13" s="2"/>
      <c r="O13" s="1678"/>
      <c r="P13" s="378" t="s">
        <v>238</v>
      </c>
      <c r="Q13" s="354">
        <v>50</v>
      </c>
    </row>
    <row r="14" spans="1:17" ht="9" customHeight="1" x14ac:dyDescent="0.25">
      <c r="A14" s="43"/>
      <c r="C14" s="127"/>
      <c r="D14" s="169"/>
      <c r="E14" s="170"/>
      <c r="F14" s="171"/>
      <c r="G14" s="172"/>
      <c r="H14" s="171"/>
      <c r="I14" s="178"/>
      <c r="J14" s="178"/>
      <c r="K14" s="172"/>
      <c r="L14" s="173"/>
      <c r="M14" s="2"/>
      <c r="N14" s="2"/>
      <c r="O14" s="1678"/>
      <c r="P14" s="378" t="s">
        <v>80</v>
      </c>
      <c r="Q14" s="354">
        <v>50</v>
      </c>
    </row>
    <row r="15" spans="1:17" ht="17.25" customHeight="1" x14ac:dyDescent="0.25">
      <c r="B15" s="120" t="s">
        <v>263</v>
      </c>
      <c r="C15" s="1677">
        <f>IF(C$11="24 Std.",(C10*0.005*C12+(100-C10)*0.01*C12)*C13/6.25,(C10*0.0075*C12+(100-C10)*0.01*C12)*C13/6.25)</f>
        <v>242.72639999999998</v>
      </c>
      <c r="D15" s="1736"/>
      <c r="E15" s="1677">
        <f t="shared" ref="E15" si="0">IF(E$11="24 Std.",(E10*0.005*E12+(100-E10)*0.01*E12)*E13/6.25,(E10*0.0075*E12+(100-E10)*0.01*E12)*E13/6.25)</f>
        <v>152.32</v>
      </c>
      <c r="F15" s="1736"/>
      <c r="G15" s="1677">
        <f t="shared" ref="G15" si="1">IF(G$11="24 Std.",(G10*0.005*G12+(100-G10)*0.01*G12)*G13/6.25,(G10*0.0075*G12+(100-G10)*0.01*G12)*G13/6.25)</f>
        <v>185.29280000000003</v>
      </c>
      <c r="H15" s="1736"/>
      <c r="I15" s="1677">
        <f t="shared" ref="I15" si="2">IF(I$11="24 Std.",(I10*0.005*I12+(100-I10)*0.01*I12)*I13/6.25,(I10*0.0075*I12+(100-I10)*0.01*I12)*I13/6.25)</f>
        <v>174.08</v>
      </c>
      <c r="J15" s="1736"/>
      <c r="K15" s="1677">
        <f t="shared" ref="K15" si="3">IF(K$11="24 Std.",(K10*0.005*K12+(100-K10)*0.01*K12)*K13/6.25,(K10*0.0075*K12+(100-K10)*0.01*K12)*K13/6.25)</f>
        <v>130.56</v>
      </c>
      <c r="L15" s="1736"/>
      <c r="M15" s="2" t="s">
        <v>4</v>
      </c>
      <c r="O15" s="1678"/>
      <c r="P15" s="378" t="s">
        <v>81</v>
      </c>
      <c r="Q15" s="354">
        <v>80</v>
      </c>
    </row>
    <row r="16" spans="1:17" ht="45.75" customHeight="1" x14ac:dyDescent="0.25">
      <c r="B16" s="514" t="s">
        <v>650</v>
      </c>
      <c r="C16" s="1715">
        <f>IF(C$11="24 Std.",(C10*0.005*C12+(100-C10)*0.01*C12)*(0.25+0.43*C13/6.25-0.06*C13/6.25*C13/6.25),(C10*0.0075*C12+(100-C10)*0.01*C12)*(0.25+0.43*C13/6.25-0.06*C13/6.25*C13/6.25))</f>
        <v>86.343368831999996</v>
      </c>
      <c r="D16" s="1745"/>
      <c r="E16" s="1715">
        <f t="shared" ref="E16" si="4">IF(E$11="24 Std.",(E10*0.005*E12+(100-E10)*0.01*E12)*(0.25+0.43*E13/6.25-0.06*E13/6.25*E13/6.25),(E10*0.0075*E12+(100-E10)*0.01*E12)*(0.25+0.43*E13/6.25-0.06*E13/6.25*E13/6.25))</f>
        <v>54.638975999999992</v>
      </c>
      <c r="F16" s="1745"/>
      <c r="G16" s="1715">
        <f t="shared" ref="G16" si="5">IF(G$11="24 Std.",(G10*0.005*G12+(100-G10)*0.01*G12)*(0.25+0.43*G13/6.25-0.06*G13/6.25*G13/6.25),(G10*0.0075*G12+(100-G10)*0.01*G12)*(0.25+0.43*G13/6.25-0.06*G13/6.25*G13/6.25))</f>
        <v>64.818832512</v>
      </c>
      <c r="H16" s="1745"/>
      <c r="I16" s="1715">
        <f t="shared" ref="I16" si="6">IF(I$11="24 Std.",(I10*0.005*I12+(100-I10)*0.01*I12)*(0.25+0.43*I13/6.25-0.06*I13/6.25*I13/6.25),(I10*0.0075*I12+(100-I10)*0.01*I12)*(0.25+0.43*I13/6.25-0.06*I13/6.25*I13/6.25))</f>
        <v>62.444543999999993</v>
      </c>
      <c r="J16" s="1745"/>
      <c r="K16" s="1715">
        <f t="shared" ref="K16" si="7">IF(K$11="24 Std.",(K10*0.005*K12+(100-K10)*0.01*K12)*(0.25+0.43*K13/6.25-0.06*K13/6.25*K13/6.25),(K10*0.0075*K12+(100-K10)*0.01*K12)*(0.25+0.43*K13/6.25-0.06*K13/6.25*K13/6.25))</f>
        <v>46.833407999999991</v>
      </c>
      <c r="L16" s="1745"/>
      <c r="M16" s="536" t="s">
        <v>649</v>
      </c>
      <c r="O16" s="1678"/>
      <c r="P16" s="378"/>
      <c r="Q16" s="354"/>
    </row>
    <row r="17" spans="2:17" ht="9.75" customHeight="1" x14ac:dyDescent="0.25">
      <c r="C17" s="70"/>
      <c r="D17" s="27"/>
      <c r="E17" s="128"/>
      <c r="F17" s="71"/>
      <c r="G17" s="175"/>
      <c r="H17" s="71"/>
      <c r="K17" s="175"/>
      <c r="L17" s="27"/>
      <c r="N17" s="1"/>
      <c r="O17" s="1678"/>
      <c r="P17" s="378"/>
      <c r="Q17" s="353"/>
    </row>
    <row r="18" spans="2:17" ht="27" customHeight="1" x14ac:dyDescent="0.25">
      <c r="B18" s="41" t="s">
        <v>82</v>
      </c>
      <c r="C18" s="340" t="s">
        <v>238</v>
      </c>
      <c r="D18" s="27">
        <f>VLOOKUP(C18,P11:Q15,2,FALSE)</f>
        <v>50</v>
      </c>
      <c r="E18" s="340" t="s">
        <v>86</v>
      </c>
      <c r="F18" s="27">
        <f>VLOOKUP(E18,P11:Q15,2,FALSE)</f>
        <v>10</v>
      </c>
      <c r="G18" s="340" t="s">
        <v>86</v>
      </c>
      <c r="H18" s="27">
        <f>VLOOKUP(G18,P11:Q15,2,FALSE)</f>
        <v>10</v>
      </c>
      <c r="I18" s="340" t="s">
        <v>86</v>
      </c>
      <c r="J18" s="27">
        <f>VLOOKUP(I18,P11:Q15,2,FALSE)</f>
        <v>10</v>
      </c>
      <c r="K18" s="340" t="s">
        <v>86</v>
      </c>
      <c r="L18" s="27">
        <f>VLOOKUP(K18,P11:Q15,2,FALSE)</f>
        <v>10</v>
      </c>
      <c r="M18" s="1" t="s">
        <v>4</v>
      </c>
      <c r="N18" s="1"/>
      <c r="O18" s="1678"/>
      <c r="P18" s="355" t="s">
        <v>84</v>
      </c>
      <c r="Q18" s="354"/>
    </row>
    <row r="19" spans="2:17" ht="9.75" customHeight="1" x14ac:dyDescent="0.25">
      <c r="C19" s="127"/>
      <c r="D19" s="27"/>
      <c r="E19" s="128"/>
      <c r="F19" s="27"/>
      <c r="G19" s="128"/>
      <c r="H19" s="27"/>
      <c r="I19" s="80"/>
      <c r="J19" s="80"/>
      <c r="K19" s="128"/>
      <c r="L19" s="27"/>
      <c r="M19" s="1"/>
      <c r="N19" s="1"/>
      <c r="O19" s="1678"/>
      <c r="P19" s="378" t="s">
        <v>90</v>
      </c>
      <c r="Q19" s="354">
        <v>0</v>
      </c>
    </row>
    <row r="20" spans="2:17" ht="26.25" customHeight="1" x14ac:dyDescent="0.25">
      <c r="B20" s="41" t="s">
        <v>83</v>
      </c>
      <c r="C20" s="340" t="s">
        <v>90</v>
      </c>
      <c r="D20" s="27">
        <f>VLOOKUP(C20,$P19:$Q22,2,FALSE)</f>
        <v>0</v>
      </c>
      <c r="E20" s="340" t="s">
        <v>88</v>
      </c>
      <c r="F20" s="27">
        <f>VLOOKUP(E20,$P19:$Q22,2,FALSE)</f>
        <v>20</v>
      </c>
      <c r="G20" s="340" t="s">
        <v>90</v>
      </c>
      <c r="H20" s="27">
        <f>VLOOKUP(G20,$P19:$Q22,2,FALSE)</f>
        <v>0</v>
      </c>
      <c r="I20" s="340" t="s">
        <v>88</v>
      </c>
      <c r="J20" s="27">
        <f>VLOOKUP(I20,$P19:$Q22,2,FALSE)</f>
        <v>20</v>
      </c>
      <c r="K20" s="340" t="s">
        <v>88</v>
      </c>
      <c r="L20" s="27">
        <f>VLOOKUP(K20,$P19:$Q22,2,FALSE)</f>
        <v>20</v>
      </c>
      <c r="M20" s="1" t="s">
        <v>4</v>
      </c>
      <c r="N20" s="1"/>
      <c r="O20" s="1678"/>
      <c r="P20" s="378" t="s">
        <v>88</v>
      </c>
      <c r="Q20" s="354">
        <v>20</v>
      </c>
    </row>
    <row r="21" spans="2:17" ht="9" customHeight="1" x14ac:dyDescent="0.25">
      <c r="C21" s="127"/>
      <c r="D21" s="27"/>
      <c r="E21" s="128"/>
      <c r="F21" s="71"/>
      <c r="G21" s="175"/>
      <c r="H21" s="71"/>
      <c r="K21" s="175"/>
      <c r="L21" s="27"/>
      <c r="M21" s="1"/>
      <c r="N21" s="1"/>
      <c r="O21" s="1678"/>
      <c r="P21" s="378" t="s">
        <v>89</v>
      </c>
      <c r="Q21" s="354">
        <v>40</v>
      </c>
    </row>
    <row r="22" spans="2:17" ht="17.25" customHeight="1" x14ac:dyDescent="0.25">
      <c r="B22" s="41" t="s">
        <v>91</v>
      </c>
      <c r="C22" s="1718">
        <v>0</v>
      </c>
      <c r="D22" s="1719"/>
      <c r="E22" s="1718">
        <v>0</v>
      </c>
      <c r="F22" s="1719"/>
      <c r="G22" s="1718">
        <v>0</v>
      </c>
      <c r="H22" s="1719"/>
      <c r="I22" s="1718">
        <v>0</v>
      </c>
      <c r="J22" s="1719"/>
      <c r="K22" s="1718">
        <v>0</v>
      </c>
      <c r="L22" s="1719"/>
      <c r="M22" s="1" t="s">
        <v>216</v>
      </c>
      <c r="O22" s="1678"/>
      <c r="P22" s="378" t="s">
        <v>233</v>
      </c>
      <c r="Q22" s="354">
        <v>60</v>
      </c>
    </row>
    <row r="23" spans="2:17" ht="9.75" customHeight="1" x14ac:dyDescent="0.25">
      <c r="C23" s="127"/>
      <c r="D23" s="27"/>
      <c r="E23" s="128"/>
      <c r="F23" s="71"/>
      <c r="G23" s="175"/>
      <c r="H23" s="71"/>
      <c r="K23" s="175"/>
      <c r="L23" s="27"/>
      <c r="N23" s="1"/>
      <c r="O23" s="1678"/>
    </row>
    <row r="24" spans="2:17" ht="15.75" x14ac:dyDescent="0.25">
      <c r="B24" s="141" t="s">
        <v>475</v>
      </c>
      <c r="C24" s="1717">
        <f>IF(C15-D18-D20-C22&lt;0,0,C15-D18-D20-C22)</f>
        <v>192.72639999999998</v>
      </c>
      <c r="D24" s="1717"/>
      <c r="E24" s="1717">
        <f t="shared" ref="E24" si="8">IF(E15-F18-F20-E22&lt;0,0,E15-F18-F20-E22)</f>
        <v>122.32</v>
      </c>
      <c r="F24" s="1717"/>
      <c r="G24" s="1717">
        <f t="shared" ref="G24" si="9">IF(G15-H18-H20-G22&lt;0,0,G15-H18-H20-G22)</f>
        <v>175.29280000000003</v>
      </c>
      <c r="H24" s="1717"/>
      <c r="I24" s="1717">
        <f t="shared" ref="I24" si="10">IF(I15-J18-J20-I22&lt;0,0,I15-J18-J20-I22)</f>
        <v>144.08000000000001</v>
      </c>
      <c r="J24" s="1717"/>
      <c r="K24" s="1717">
        <f t="shared" ref="K24" si="11">IF(K15-L18-L20-K22&lt;0,0,K15-L18-L20-K22)</f>
        <v>100.56</v>
      </c>
      <c r="L24" s="1717"/>
      <c r="M24" s="15" t="s">
        <v>477</v>
      </c>
      <c r="O24" s="1678"/>
    </row>
    <row r="25" spans="2:17" ht="8.25" customHeight="1" x14ac:dyDescent="0.25">
      <c r="O25" s="1678"/>
    </row>
    <row r="26" spans="2:17" x14ac:dyDescent="0.25">
      <c r="B26" s="41" t="s">
        <v>189</v>
      </c>
      <c r="C26" s="1720"/>
      <c r="D26" s="1720"/>
      <c r="E26" s="1721"/>
      <c r="F26" s="1721"/>
      <c r="G26" s="1721"/>
      <c r="H26" s="1721"/>
      <c r="I26" s="1737"/>
      <c r="J26" s="1738"/>
      <c r="K26" s="1721"/>
      <c r="L26" s="1721"/>
    </row>
    <row r="27" spans="2:17" x14ac:dyDescent="0.25">
      <c r="B27" s="41" t="s">
        <v>190</v>
      </c>
      <c r="C27" s="1720"/>
      <c r="D27" s="1720"/>
      <c r="E27" s="1721"/>
      <c r="F27" s="1721"/>
      <c r="G27" s="1721"/>
      <c r="H27" s="1721"/>
      <c r="I27" s="1737"/>
      <c r="J27" s="1738"/>
      <c r="K27" s="1721"/>
      <c r="L27" s="1721"/>
      <c r="O27" s="4"/>
      <c r="P27" s="32"/>
    </row>
    <row r="28" spans="2:17" x14ac:dyDescent="0.25">
      <c r="B28" s="41" t="s">
        <v>191</v>
      </c>
      <c r="C28" s="1720"/>
      <c r="D28" s="1720"/>
      <c r="E28" s="1721"/>
      <c r="F28" s="1721"/>
      <c r="G28" s="1721"/>
      <c r="H28" s="1721"/>
      <c r="I28" s="1737"/>
      <c r="J28" s="1738"/>
      <c r="K28" s="1721"/>
      <c r="L28" s="1721"/>
    </row>
    <row r="29" spans="2:17" x14ac:dyDescent="0.25">
      <c r="B29" s="41" t="s">
        <v>193</v>
      </c>
      <c r="C29" s="1720"/>
      <c r="D29" s="1720"/>
      <c r="E29" s="1721"/>
      <c r="F29" s="1721"/>
      <c r="G29" s="1721"/>
      <c r="H29" s="1721"/>
      <c r="I29" s="1737"/>
      <c r="J29" s="1738"/>
      <c r="K29" s="1721"/>
      <c r="L29" s="1721"/>
    </row>
    <row r="30" spans="2:17" x14ac:dyDescent="0.25">
      <c r="B30" s="41" t="s">
        <v>194</v>
      </c>
      <c r="C30" s="1720"/>
      <c r="D30" s="1720"/>
      <c r="E30" s="1721"/>
      <c r="F30" s="1721"/>
      <c r="G30" s="1721"/>
      <c r="H30" s="1721"/>
      <c r="I30" s="1737"/>
      <c r="J30" s="1738"/>
      <c r="K30" s="1721"/>
      <c r="L30" s="1721"/>
    </row>
    <row r="31" spans="2:17" x14ac:dyDescent="0.25">
      <c r="B31" s="41" t="s">
        <v>192</v>
      </c>
      <c r="C31" s="1720"/>
      <c r="D31" s="1720"/>
      <c r="E31" s="1721"/>
      <c r="F31" s="1721"/>
      <c r="G31" s="1721"/>
      <c r="H31" s="1721"/>
      <c r="I31" s="1737"/>
      <c r="J31" s="1738"/>
      <c r="K31" s="1721"/>
      <c r="L31" s="1721"/>
    </row>
    <row r="32" spans="2:17" x14ac:dyDescent="0.25">
      <c r="B32" s="41" t="s">
        <v>195</v>
      </c>
      <c r="C32" s="1720"/>
      <c r="D32" s="1720"/>
      <c r="E32" s="1721"/>
      <c r="F32" s="1721"/>
      <c r="G32" s="1721"/>
      <c r="H32" s="1721"/>
      <c r="I32" s="1737"/>
      <c r="J32" s="1738"/>
      <c r="K32" s="1721"/>
      <c r="L32" s="1721"/>
    </row>
    <row r="33" spans="2:22" x14ac:dyDescent="0.25">
      <c r="B33" s="41" t="s">
        <v>217</v>
      </c>
      <c r="C33" s="1720"/>
      <c r="D33" s="1720"/>
      <c r="E33" s="1721"/>
      <c r="F33" s="1721"/>
      <c r="G33" s="1721"/>
      <c r="H33" s="1721"/>
      <c r="I33" s="1737"/>
      <c r="J33" s="1738"/>
      <c r="K33" s="1721"/>
      <c r="L33" s="1721"/>
    </row>
    <row r="34" spans="2:22" ht="9.75" customHeight="1" x14ac:dyDescent="0.25">
      <c r="N34" s="220"/>
      <c r="O34" s="1303"/>
      <c r="P34" s="1739"/>
      <c r="Q34" s="1739"/>
    </row>
    <row r="35" spans="2:22" ht="15.75" x14ac:dyDescent="0.25">
      <c r="B35" s="142"/>
      <c r="C35" s="1453" t="s">
        <v>729</v>
      </c>
      <c r="D35" s="1674"/>
      <c r="E35" s="1454"/>
      <c r="F35" s="1454"/>
      <c r="G35" s="1454"/>
      <c r="H35" s="1454"/>
      <c r="I35" s="1454"/>
      <c r="J35" s="1454"/>
      <c r="K35" s="1454"/>
      <c r="L35" s="1455"/>
      <c r="M35" s="133"/>
      <c r="N35" s="221"/>
      <c r="O35" s="1303"/>
      <c r="P35" s="1739"/>
      <c r="Q35" s="1739"/>
    </row>
    <row r="36" spans="2:22" ht="24" customHeight="1" x14ac:dyDescent="0.25">
      <c r="B36" s="143" t="s">
        <v>42</v>
      </c>
      <c r="C36" s="1717">
        <f>C24</f>
        <v>192.72639999999998</v>
      </c>
      <c r="D36" s="1717"/>
      <c r="E36" s="1717">
        <f>E24</f>
        <v>122.32</v>
      </c>
      <c r="F36" s="1717"/>
      <c r="G36" s="1717">
        <f>G24</f>
        <v>175.29280000000003</v>
      </c>
      <c r="H36" s="1717"/>
      <c r="I36" s="1717">
        <f>I24</f>
        <v>144.08000000000001</v>
      </c>
      <c r="J36" s="1717"/>
      <c r="K36" s="1717">
        <f>K24</f>
        <v>100.56</v>
      </c>
      <c r="L36" s="1717"/>
      <c r="M36" s="134" t="s">
        <v>4</v>
      </c>
      <c r="N36" s="221"/>
      <c r="O36" s="519" t="s">
        <v>183</v>
      </c>
      <c r="P36" s="122" t="s">
        <v>186</v>
      </c>
      <c r="Q36" s="611"/>
    </row>
    <row r="37" spans="2:22" ht="18.75" customHeight="1" x14ac:dyDescent="0.25">
      <c r="B37" s="625" t="s">
        <v>732</v>
      </c>
      <c r="C37" s="1724"/>
      <c r="D37" s="1725"/>
      <c r="E37" s="1724"/>
      <c r="F37" s="1725"/>
      <c r="G37" s="1724"/>
      <c r="H37" s="1725"/>
      <c r="I37" s="1724"/>
      <c r="J37" s="1725"/>
      <c r="K37" s="1724"/>
      <c r="L37" s="1725"/>
      <c r="M37" s="624"/>
      <c r="N37" s="13"/>
      <c r="O37" s="60" t="s">
        <v>179</v>
      </c>
      <c r="P37" s="60">
        <v>90</v>
      </c>
      <c r="Q37" s="611"/>
      <c r="R37" s="15"/>
      <c r="S37" s="15"/>
    </row>
    <row r="38" spans="2:22" ht="18.75" customHeight="1" x14ac:dyDescent="0.25">
      <c r="B38" s="626" t="s">
        <v>257</v>
      </c>
      <c r="C38" s="1726">
        <v>0</v>
      </c>
      <c r="D38" s="1727"/>
      <c r="E38" s="1726">
        <v>0</v>
      </c>
      <c r="F38" s="1727"/>
      <c r="G38" s="1726">
        <v>0</v>
      </c>
      <c r="H38" s="1727"/>
      <c r="I38" s="1726">
        <v>0</v>
      </c>
      <c r="J38" s="1727"/>
      <c r="K38" s="1726">
        <v>0</v>
      </c>
      <c r="L38" s="1727"/>
      <c r="M38" s="138" t="s">
        <v>491</v>
      </c>
      <c r="N38" s="222"/>
      <c r="O38" s="60" t="s">
        <v>819</v>
      </c>
      <c r="P38" s="519">
        <v>70</v>
      </c>
      <c r="Q38" s="611" t="s">
        <v>1243</v>
      </c>
      <c r="R38" s="15"/>
      <c r="S38" s="15"/>
      <c r="T38" s="80"/>
    </row>
    <row r="39" spans="2:22" ht="18.75" customHeight="1" x14ac:dyDescent="0.25">
      <c r="B39" s="144" t="s">
        <v>258</v>
      </c>
      <c r="C39" s="1726">
        <v>0</v>
      </c>
      <c r="D39" s="1727"/>
      <c r="E39" s="1726">
        <v>0</v>
      </c>
      <c r="F39" s="1727"/>
      <c r="G39" s="1726">
        <v>0</v>
      </c>
      <c r="H39" s="1727"/>
      <c r="I39" s="1726">
        <v>0</v>
      </c>
      <c r="J39" s="1727"/>
      <c r="K39" s="1726">
        <v>0</v>
      </c>
      <c r="L39" s="1727"/>
      <c r="M39" s="139" t="s">
        <v>492</v>
      </c>
      <c r="N39" s="222"/>
      <c r="O39" s="519" t="s">
        <v>820</v>
      </c>
      <c r="P39" s="519">
        <v>60</v>
      </c>
      <c r="Q39" s="611" t="s">
        <v>1244</v>
      </c>
      <c r="R39" s="15"/>
      <c r="S39" s="15"/>
      <c r="T39" s="80"/>
    </row>
    <row r="40" spans="2:22" ht="18.75" customHeight="1" x14ac:dyDescent="0.25">
      <c r="B40" s="144" t="s">
        <v>259</v>
      </c>
      <c r="C40" s="1726">
        <v>0</v>
      </c>
      <c r="D40" s="1727"/>
      <c r="E40" s="1726">
        <v>0</v>
      </c>
      <c r="F40" s="1727"/>
      <c r="G40" s="1726">
        <v>0</v>
      </c>
      <c r="H40" s="1727"/>
      <c r="I40" s="1726">
        <v>0</v>
      </c>
      <c r="J40" s="1727"/>
      <c r="K40" s="1726">
        <v>0</v>
      </c>
      <c r="L40" s="1727"/>
      <c r="M40" s="139" t="s">
        <v>260</v>
      </c>
      <c r="N40" s="222"/>
      <c r="O40" s="60" t="s">
        <v>48</v>
      </c>
      <c r="P40" s="519">
        <v>60</v>
      </c>
      <c r="Q40" s="611"/>
      <c r="R40" s="15"/>
      <c r="S40" s="15"/>
      <c r="T40" s="80"/>
    </row>
    <row r="41" spans="2:22" ht="18.75" customHeight="1" x14ac:dyDescent="0.25">
      <c r="B41" s="625" t="s">
        <v>731</v>
      </c>
      <c r="C41" s="1724"/>
      <c r="D41" s="1725"/>
      <c r="E41" s="1724"/>
      <c r="F41" s="1725"/>
      <c r="G41" s="1724"/>
      <c r="H41" s="1725"/>
      <c r="I41" s="1724"/>
      <c r="J41" s="1725"/>
      <c r="K41" s="1724"/>
      <c r="L41" s="1725"/>
      <c r="M41" s="624"/>
      <c r="N41" s="137"/>
      <c r="O41" s="60" t="s">
        <v>821</v>
      </c>
      <c r="P41" s="60">
        <v>45</v>
      </c>
      <c r="Q41" s="611"/>
      <c r="R41" s="15"/>
      <c r="S41" s="15"/>
      <c r="T41" s="80"/>
    </row>
    <row r="42" spans="2:22" ht="18.75" customHeight="1" x14ac:dyDescent="0.25">
      <c r="B42" s="626" t="s">
        <v>257</v>
      </c>
      <c r="C42" s="1726">
        <v>0</v>
      </c>
      <c r="D42" s="1727"/>
      <c r="E42" s="1726">
        <v>0</v>
      </c>
      <c r="F42" s="1727"/>
      <c r="G42" s="1726">
        <v>0</v>
      </c>
      <c r="H42" s="1727"/>
      <c r="I42" s="1726">
        <v>0</v>
      </c>
      <c r="J42" s="1727"/>
      <c r="K42" s="1726">
        <v>0</v>
      </c>
      <c r="L42" s="1727"/>
      <c r="M42" s="138" t="s">
        <v>491</v>
      </c>
      <c r="O42" s="519" t="s">
        <v>816</v>
      </c>
      <c r="P42" s="519">
        <v>30</v>
      </c>
      <c r="Q42" s="611"/>
      <c r="R42" s="15"/>
      <c r="S42" s="15"/>
      <c r="T42" s="80"/>
    </row>
    <row r="43" spans="2:22" ht="18.75" customHeight="1" x14ac:dyDescent="0.25">
      <c r="B43" s="144" t="s">
        <v>258</v>
      </c>
      <c r="C43" s="1726">
        <v>0</v>
      </c>
      <c r="D43" s="1727"/>
      <c r="E43" s="1726">
        <v>0</v>
      </c>
      <c r="F43" s="1727"/>
      <c r="G43" s="1726">
        <v>0</v>
      </c>
      <c r="H43" s="1727"/>
      <c r="I43" s="1726">
        <v>0</v>
      </c>
      <c r="J43" s="1727"/>
      <c r="K43" s="1726">
        <v>0</v>
      </c>
      <c r="L43" s="1727"/>
      <c r="M43" s="139" t="s">
        <v>492</v>
      </c>
      <c r="O43" s="60" t="s">
        <v>1034</v>
      </c>
      <c r="P43" s="519">
        <v>30</v>
      </c>
      <c r="Q43" s="611"/>
      <c r="R43" s="15"/>
      <c r="S43" s="15"/>
      <c r="T43" s="80"/>
    </row>
    <row r="44" spans="2:22" ht="18.75" customHeight="1" x14ac:dyDescent="0.25">
      <c r="B44" s="144" t="s">
        <v>259</v>
      </c>
      <c r="C44" s="1726">
        <v>0</v>
      </c>
      <c r="D44" s="1727"/>
      <c r="E44" s="1726">
        <v>0</v>
      </c>
      <c r="F44" s="1727"/>
      <c r="G44" s="1726">
        <v>0</v>
      </c>
      <c r="H44" s="1727"/>
      <c r="I44" s="1726">
        <v>0</v>
      </c>
      <c r="J44" s="1727"/>
      <c r="K44" s="1726">
        <v>0</v>
      </c>
      <c r="L44" s="1727"/>
      <c r="M44" s="139" t="s">
        <v>260</v>
      </c>
      <c r="O44" s="60" t="s">
        <v>825</v>
      </c>
      <c r="P44" s="519">
        <v>30</v>
      </c>
      <c r="Q44" s="611"/>
      <c r="T44" s="80"/>
    </row>
    <row r="45" spans="2:22" ht="18" customHeight="1" x14ac:dyDescent="0.25">
      <c r="B45" s="144" t="s">
        <v>261</v>
      </c>
      <c r="C45" s="1728">
        <f>(C38*C39*C40/100)+(C42*C43*C44/100)</f>
        <v>0</v>
      </c>
      <c r="D45" s="1728"/>
      <c r="E45" s="1728">
        <f t="shared" ref="E45" si="12">(E38*E39*E40/100)+(E42*E43*E44/100)</f>
        <v>0</v>
      </c>
      <c r="F45" s="1728"/>
      <c r="G45" s="1728">
        <f t="shared" ref="G45" si="13">(G38*G39*G40/100)+(G42*G43*G44/100)</f>
        <v>0</v>
      </c>
      <c r="H45" s="1728"/>
      <c r="I45" s="1728">
        <f t="shared" ref="I45" si="14">(I38*I39*I40/100)+(I42*I43*I44/100)</f>
        <v>0</v>
      </c>
      <c r="J45" s="1728"/>
      <c r="K45" s="1728">
        <f t="shared" ref="K45" si="15">(K38*K39*K40/100)+(K42*K43*K44/100)</f>
        <v>0</v>
      </c>
      <c r="L45" s="1728"/>
      <c r="M45" s="135" t="s">
        <v>4</v>
      </c>
      <c r="O45" s="60" t="s">
        <v>817</v>
      </c>
      <c r="P45" s="519">
        <v>25</v>
      </c>
      <c r="Q45" s="611"/>
      <c r="T45" s="80"/>
    </row>
    <row r="46" spans="2:22" ht="18" customHeight="1" x14ac:dyDescent="0.25">
      <c r="B46" s="145" t="s">
        <v>136</v>
      </c>
      <c r="C46" s="1645">
        <f>C36-C45</f>
        <v>192.72639999999998</v>
      </c>
      <c r="D46" s="1645"/>
      <c r="E46" s="1645">
        <f>E36-E45</f>
        <v>122.32</v>
      </c>
      <c r="F46" s="1645"/>
      <c r="G46" s="1645">
        <f>G36-G45</f>
        <v>175.29280000000003</v>
      </c>
      <c r="H46" s="1645"/>
      <c r="I46" s="1645">
        <f>I36-I45</f>
        <v>144.08000000000001</v>
      </c>
      <c r="J46" s="1645"/>
      <c r="K46" s="1645">
        <f>K36-K45</f>
        <v>100.56</v>
      </c>
      <c r="L46" s="1645"/>
      <c r="M46" s="136" t="s">
        <v>4</v>
      </c>
      <c r="O46" s="519" t="s">
        <v>818</v>
      </c>
      <c r="P46" s="519">
        <v>25</v>
      </c>
      <c r="Q46" s="611"/>
      <c r="T46" s="80"/>
    </row>
    <row r="47" spans="2:22" ht="15.75" x14ac:dyDescent="0.25">
      <c r="O47" s="519" t="s">
        <v>826</v>
      </c>
      <c r="P47" s="519">
        <v>10</v>
      </c>
      <c r="Q47" s="611"/>
      <c r="T47" s="80"/>
    </row>
    <row r="48" spans="2:22" ht="15.75" x14ac:dyDescent="0.25">
      <c r="B48" s="67"/>
      <c r="C48" s="176" t="s">
        <v>199</v>
      </c>
      <c r="D48" s="111"/>
      <c r="E48" s="111"/>
      <c r="F48" s="177"/>
      <c r="G48" s="176" t="s">
        <v>532</v>
      </c>
      <c r="H48" s="177"/>
      <c r="I48" s="177"/>
      <c r="J48" s="111"/>
      <c r="K48" s="111"/>
      <c r="L48" s="69"/>
      <c r="O48" s="519" t="s">
        <v>181</v>
      </c>
      <c r="P48" s="519">
        <v>10</v>
      </c>
      <c r="V48" s="80"/>
    </row>
    <row r="49" spans="2:22" x14ac:dyDescent="0.25">
      <c r="B49" s="70"/>
      <c r="C49" s="41" t="s">
        <v>211</v>
      </c>
      <c r="D49" s="112">
        <v>20</v>
      </c>
      <c r="E49" s="112">
        <v>60</v>
      </c>
      <c r="F49" s="112"/>
      <c r="G49" s="112">
        <v>20</v>
      </c>
      <c r="H49" s="112">
        <v>33</v>
      </c>
      <c r="I49" s="112">
        <v>50</v>
      </c>
      <c r="J49" s="114">
        <v>66</v>
      </c>
      <c r="K49" s="114">
        <v>80</v>
      </c>
      <c r="L49" s="721">
        <v>100</v>
      </c>
      <c r="V49" s="80"/>
    </row>
    <row r="50" spans="2:22" x14ac:dyDescent="0.25">
      <c r="B50" s="70"/>
      <c r="C50" s="41" t="s">
        <v>85</v>
      </c>
      <c r="D50" s="80">
        <v>98</v>
      </c>
      <c r="E50" s="80">
        <v>94</v>
      </c>
      <c r="F50" s="80"/>
      <c r="G50" s="80">
        <v>80</v>
      </c>
      <c r="H50" s="80">
        <v>80</v>
      </c>
      <c r="I50" s="80">
        <v>75</v>
      </c>
      <c r="J50" s="400">
        <v>75</v>
      </c>
      <c r="K50" s="400">
        <v>70</v>
      </c>
      <c r="L50" s="707">
        <v>70</v>
      </c>
    </row>
    <row r="51" spans="2:22" x14ac:dyDescent="0.25">
      <c r="B51" s="70"/>
      <c r="C51" s="41" t="s">
        <v>201</v>
      </c>
      <c r="D51" s="80">
        <v>17.2</v>
      </c>
      <c r="E51" s="80">
        <v>17.600000000000001</v>
      </c>
      <c r="F51" s="80"/>
      <c r="G51" s="80">
        <v>17</v>
      </c>
      <c r="H51" s="80">
        <v>17</v>
      </c>
      <c r="I51" s="80">
        <v>17</v>
      </c>
      <c r="J51" s="400">
        <v>17</v>
      </c>
      <c r="K51" s="400">
        <v>17</v>
      </c>
      <c r="L51" s="707">
        <v>17</v>
      </c>
    </row>
    <row r="52" spans="2:22" ht="21.75" customHeight="1" x14ac:dyDescent="0.25">
      <c r="B52" s="204"/>
      <c r="C52" s="85" t="s">
        <v>204</v>
      </c>
      <c r="D52" s="113">
        <f>(D49*0.005*D50+(100-D49)*0.01*D50)*D51/6.25</f>
        <v>242.72639999999998</v>
      </c>
      <c r="E52" s="113">
        <f t="shared" ref="E52:L52" si="16">(E49*0.005*E50+(100-E49)*0.01*E50)*E51/6.25</f>
        <v>185.29280000000003</v>
      </c>
      <c r="F52" s="113"/>
      <c r="G52" s="113">
        <f t="shared" si="16"/>
        <v>195.84</v>
      </c>
      <c r="H52" s="113">
        <f t="shared" si="16"/>
        <v>181.696</v>
      </c>
      <c r="I52" s="113">
        <f t="shared" si="16"/>
        <v>153</v>
      </c>
      <c r="J52" s="113">
        <f t="shared" si="16"/>
        <v>136.68</v>
      </c>
      <c r="K52" s="113">
        <f t="shared" si="16"/>
        <v>114.24</v>
      </c>
      <c r="L52" s="115">
        <f t="shared" si="16"/>
        <v>95.2</v>
      </c>
    </row>
    <row r="53" spans="2:22" ht="21.75" customHeight="1" x14ac:dyDescent="0.25">
      <c r="F53" s="80"/>
      <c r="G53" s="80"/>
      <c r="H53" s="80"/>
      <c r="I53" s="80"/>
      <c r="L53" s="15"/>
    </row>
    <row r="54" spans="2:22" ht="21.75" customHeight="1" x14ac:dyDescent="0.25">
      <c r="C54" s="1710" t="s">
        <v>205</v>
      </c>
      <c r="D54" s="1293"/>
      <c r="E54" s="1293"/>
      <c r="F54" s="1293"/>
      <c r="G54" s="1293"/>
      <c r="H54" s="1293"/>
      <c r="I54" s="1293"/>
      <c r="L54" s="15"/>
    </row>
    <row r="55" spans="2:22" x14ac:dyDescent="0.25">
      <c r="C55" s="1293"/>
      <c r="D55" s="1293"/>
      <c r="E55" s="1293"/>
      <c r="F55" s="1293"/>
      <c r="G55" s="1293"/>
      <c r="H55" s="1293"/>
      <c r="I55" s="1293"/>
      <c r="L55" s="15"/>
    </row>
    <row r="56" spans="2:22" x14ac:dyDescent="0.25">
      <c r="C56" s="1293"/>
      <c r="D56" s="1293"/>
      <c r="E56" s="1293"/>
      <c r="F56" s="1293"/>
      <c r="G56" s="1293"/>
      <c r="H56" s="1293"/>
      <c r="I56" s="1293"/>
      <c r="L56" s="15"/>
    </row>
    <row r="57" spans="2:22" x14ac:dyDescent="0.25">
      <c r="C57" s="41"/>
      <c r="D57" s="16"/>
      <c r="E57" s="16"/>
      <c r="F57" s="16"/>
      <c r="G57" s="16"/>
      <c r="H57" s="16"/>
      <c r="I57" s="16"/>
      <c r="J57" s="80"/>
      <c r="K57" s="80"/>
      <c r="L57" s="15"/>
    </row>
    <row r="58" spans="2:22" x14ac:dyDescent="0.25">
      <c r="B58" s="1270" t="s">
        <v>468</v>
      </c>
      <c r="C58" s="1463"/>
      <c r="D58" s="1463"/>
      <c r="E58" s="1463"/>
      <c r="F58" s="1463"/>
      <c r="G58" s="1463"/>
      <c r="H58" s="1463"/>
      <c r="I58" s="1463"/>
      <c r="J58" s="1463"/>
      <c r="K58" s="80"/>
      <c r="L58" s="15"/>
    </row>
    <row r="59" spans="2:22" x14ac:dyDescent="0.25">
      <c r="B59" s="1463"/>
      <c r="C59" s="1463"/>
      <c r="D59" s="1463"/>
      <c r="E59" s="1463"/>
      <c r="F59" s="1463"/>
      <c r="G59" s="1463"/>
      <c r="H59" s="1463"/>
      <c r="I59" s="1463"/>
      <c r="J59" s="1463"/>
      <c r="K59" s="80"/>
      <c r="L59" s="15"/>
    </row>
    <row r="60" spans="2:22" x14ac:dyDescent="0.25">
      <c r="B60" s="1463"/>
      <c r="C60" s="1463"/>
      <c r="D60" s="1463"/>
      <c r="E60" s="1463"/>
      <c r="F60" s="1463"/>
      <c r="G60" s="1463"/>
      <c r="H60" s="1463"/>
      <c r="I60" s="1463"/>
      <c r="J60" s="1463"/>
      <c r="K60" s="80"/>
      <c r="L60" s="15"/>
    </row>
    <row r="61" spans="2:22" x14ac:dyDescent="0.25">
      <c r="J61" s="80"/>
      <c r="K61" s="80"/>
      <c r="L61" s="15"/>
    </row>
  </sheetData>
  <sheetProtection sheet="1" formatCells="0" formatColumns="0" formatRows="0" selectLockedCells="1"/>
  <mergeCells count="149">
    <mergeCell ref="C54:I56"/>
    <mergeCell ref="B58:J60"/>
    <mergeCell ref="C45:D45"/>
    <mergeCell ref="E45:F45"/>
    <mergeCell ref="G45:H45"/>
    <mergeCell ref="I45:J45"/>
    <mergeCell ref="K45:L45"/>
    <mergeCell ref="C46:D46"/>
    <mergeCell ref="E46:F46"/>
    <mergeCell ref="G46:H46"/>
    <mergeCell ref="I46:J46"/>
    <mergeCell ref="K46:L46"/>
    <mergeCell ref="C44:D44"/>
    <mergeCell ref="E44:F44"/>
    <mergeCell ref="G44:H44"/>
    <mergeCell ref="I44:J44"/>
    <mergeCell ref="K44:L44"/>
    <mergeCell ref="C42:D42"/>
    <mergeCell ref="E42:F42"/>
    <mergeCell ref="G42:H42"/>
    <mergeCell ref="I42:J42"/>
    <mergeCell ref="K42:L42"/>
    <mergeCell ref="C43:D43"/>
    <mergeCell ref="E43:F43"/>
    <mergeCell ref="G43:H43"/>
    <mergeCell ref="I43:J43"/>
    <mergeCell ref="K43:L43"/>
    <mergeCell ref="C41:D41"/>
    <mergeCell ref="E41:F41"/>
    <mergeCell ref="G41:H41"/>
    <mergeCell ref="I41:J41"/>
    <mergeCell ref="K41:L41"/>
    <mergeCell ref="C39:D39"/>
    <mergeCell ref="E39:F39"/>
    <mergeCell ref="G39:H39"/>
    <mergeCell ref="I39:J39"/>
    <mergeCell ref="K39:L39"/>
    <mergeCell ref="C40:D40"/>
    <mergeCell ref="E40:F40"/>
    <mergeCell ref="G40:H40"/>
    <mergeCell ref="I40:J40"/>
    <mergeCell ref="K40:L40"/>
    <mergeCell ref="C37:D37"/>
    <mergeCell ref="E37:F37"/>
    <mergeCell ref="G37:H37"/>
    <mergeCell ref="I37:J37"/>
    <mergeCell ref="K37:L37"/>
    <mergeCell ref="C38:D38"/>
    <mergeCell ref="E38:F38"/>
    <mergeCell ref="G38:H38"/>
    <mergeCell ref="I38:J38"/>
    <mergeCell ref="K38:L38"/>
    <mergeCell ref="C32:D32"/>
    <mergeCell ref="E32:F32"/>
    <mergeCell ref="G32:H32"/>
    <mergeCell ref="I32:J32"/>
    <mergeCell ref="K32:L32"/>
    <mergeCell ref="P34:P35"/>
    <mergeCell ref="Q34:Q35"/>
    <mergeCell ref="C35:L35"/>
    <mergeCell ref="C36:D36"/>
    <mergeCell ref="E36:F36"/>
    <mergeCell ref="G36:H36"/>
    <mergeCell ref="I36:J36"/>
    <mergeCell ref="K36:L36"/>
    <mergeCell ref="C33:D33"/>
    <mergeCell ref="E33:F33"/>
    <mergeCell ref="G33:H33"/>
    <mergeCell ref="I33:J33"/>
    <mergeCell ref="K33:L33"/>
    <mergeCell ref="O34:O35"/>
    <mergeCell ref="C30:D30"/>
    <mergeCell ref="E30:F30"/>
    <mergeCell ref="G30:H30"/>
    <mergeCell ref="I30:J30"/>
    <mergeCell ref="K30:L30"/>
    <mergeCell ref="C31:D31"/>
    <mergeCell ref="E31:F31"/>
    <mergeCell ref="G31:H31"/>
    <mergeCell ref="I31:J31"/>
    <mergeCell ref="K31:L31"/>
    <mergeCell ref="C28:D28"/>
    <mergeCell ref="E28:F28"/>
    <mergeCell ref="G28:H28"/>
    <mergeCell ref="I28:J28"/>
    <mergeCell ref="K28:L28"/>
    <mergeCell ref="C29:D29"/>
    <mergeCell ref="E29:F29"/>
    <mergeCell ref="G29:H29"/>
    <mergeCell ref="I29:J29"/>
    <mergeCell ref="K29:L29"/>
    <mergeCell ref="C26:D26"/>
    <mergeCell ref="E26:F26"/>
    <mergeCell ref="G26:H26"/>
    <mergeCell ref="I26:J26"/>
    <mergeCell ref="K26:L26"/>
    <mergeCell ref="C27:D27"/>
    <mergeCell ref="E27:F27"/>
    <mergeCell ref="G27:H27"/>
    <mergeCell ref="I27:J27"/>
    <mergeCell ref="K27:L27"/>
    <mergeCell ref="K16:L16"/>
    <mergeCell ref="C22:D22"/>
    <mergeCell ref="E22:F22"/>
    <mergeCell ref="G22:H22"/>
    <mergeCell ref="I22:J22"/>
    <mergeCell ref="K22:L22"/>
    <mergeCell ref="C24:D24"/>
    <mergeCell ref="E24:F24"/>
    <mergeCell ref="G24:H24"/>
    <mergeCell ref="I24:J24"/>
    <mergeCell ref="K24:L24"/>
    <mergeCell ref="O9:O25"/>
    <mergeCell ref="C10:D10"/>
    <mergeCell ref="E10:F10"/>
    <mergeCell ref="G10:H10"/>
    <mergeCell ref="I10:J10"/>
    <mergeCell ref="K10:L10"/>
    <mergeCell ref="C11:D11"/>
    <mergeCell ref="E11:F11"/>
    <mergeCell ref="G11:H11"/>
    <mergeCell ref="I11:J11"/>
    <mergeCell ref="C13:D13"/>
    <mergeCell ref="E13:F13"/>
    <mergeCell ref="G13:H13"/>
    <mergeCell ref="I13:J13"/>
    <mergeCell ref="K13:L13"/>
    <mergeCell ref="C15:D15"/>
    <mergeCell ref="E15:F15"/>
    <mergeCell ref="G15:H15"/>
    <mergeCell ref="I15:J15"/>
    <mergeCell ref="K15:L15"/>
    <mergeCell ref="C16:D16"/>
    <mergeCell ref="E16:F16"/>
    <mergeCell ref="G16:H16"/>
    <mergeCell ref="I16:J16"/>
    <mergeCell ref="B5:L5"/>
    <mergeCell ref="C7:L7"/>
    <mergeCell ref="C9:D9"/>
    <mergeCell ref="E9:F9"/>
    <mergeCell ref="G9:H9"/>
    <mergeCell ref="I9:J9"/>
    <mergeCell ref="K9:L9"/>
    <mergeCell ref="K11:L11"/>
    <mergeCell ref="C12:D12"/>
    <mergeCell ref="E12:F12"/>
    <mergeCell ref="G12:H12"/>
    <mergeCell ref="I12:J12"/>
    <mergeCell ref="K12:L12"/>
  </mergeCells>
  <dataValidations count="3">
    <dataValidation type="list" allowBlank="1" sqref="K20 I20 G20 E20 C20" xr:uid="{00000000-0002-0000-2100-000000000000}">
      <formula1>$P$19:$P$22</formula1>
    </dataValidation>
    <dataValidation type="list" allowBlank="1" showInputMessage="1" showErrorMessage="1" sqref="C11:L11" xr:uid="{00000000-0002-0000-2100-000001000000}">
      <formula1>"24 Std., 12 Std."</formula1>
    </dataValidation>
    <dataValidation type="list" allowBlank="1" sqref="E18 G18 K18 C18 I18" xr:uid="{00000000-0002-0000-2100-000002000000}">
      <formula1>Vorfrucht</formula1>
    </dataValidation>
  </dataValidations>
  <pageMargins left="0.25" right="0.25" top="0.75" bottom="0.75" header="0.3" footer="0.3"/>
  <pageSetup paperSize="9" scale="68" orientation="landscape" horizontalDpi="4294967293" verticalDpi="4294967293"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Tabelle47">
    <tabColor theme="0" tint="-4.9989318521683403E-2"/>
    <pageSetUpPr fitToPage="1"/>
  </sheetPr>
  <dimension ref="A1:O59"/>
  <sheetViews>
    <sheetView zoomScaleNormal="100" workbookViewId="0">
      <selection activeCell="C9" sqref="C9:D9"/>
    </sheetView>
  </sheetViews>
  <sheetFormatPr baseColWidth="10" defaultRowHeight="15" x14ac:dyDescent="0.25"/>
  <cols>
    <col min="1" max="1" width="5.140625" style="32" customWidth="1"/>
    <col min="2" max="2" width="62" style="112" customWidth="1"/>
    <col min="3" max="3" width="10" style="112" customWidth="1"/>
    <col min="4" max="5" width="10" style="80" customWidth="1"/>
    <col min="6" max="9" width="10" style="15" customWidth="1"/>
    <col min="10" max="10" width="10" style="80" customWidth="1"/>
    <col min="11" max="11" width="30.85546875" style="15" customWidth="1"/>
    <col min="12" max="12" width="4.140625" style="15" customWidth="1"/>
    <col min="13" max="13" width="37.7109375" customWidth="1"/>
    <col min="14" max="14" width="27.7109375" style="9" customWidth="1"/>
    <col min="15" max="15" width="25" style="3" customWidth="1"/>
    <col min="16" max="16" width="22.42578125" customWidth="1"/>
    <col min="19" max="19" width="15" customWidth="1"/>
    <col min="20" max="20" width="19.5703125" customWidth="1"/>
    <col min="22" max="24" width="25.140625" customWidth="1"/>
  </cols>
  <sheetData>
    <row r="1" spans="1:15" x14ac:dyDescent="0.25">
      <c r="B1" s="112" t="str">
        <f>'DüV-N-Ackerbau (1)'!C1</f>
        <v>Testbetrieb</v>
      </c>
      <c r="C1" s="112" t="str">
        <f>'DüV-N-Ackerbau (1)'!F1</f>
        <v>Erntejahr</v>
      </c>
      <c r="K1" s="109" t="s">
        <v>36</v>
      </c>
      <c r="L1" s="2"/>
    </row>
    <row r="2" spans="1:15" x14ac:dyDescent="0.25">
      <c r="B2" s="112">
        <f>'DüV-N-Ackerbau (1)'!C2</f>
        <v>1</v>
      </c>
      <c r="C2" s="112">
        <f>'DüV-N-Ackerbau (1)'!G1</f>
        <v>2022</v>
      </c>
      <c r="K2" s="110" t="s">
        <v>34</v>
      </c>
      <c r="L2" s="2"/>
    </row>
    <row r="3" spans="1:15" x14ac:dyDescent="0.25">
      <c r="B3" s="112">
        <f>'DüV-N-Ackerbau (1)'!C3</f>
        <v>123456</v>
      </c>
      <c r="C3" s="41"/>
    </row>
    <row r="4" spans="1:15" ht="6" customHeight="1" thickBot="1" x14ac:dyDescent="0.3"/>
    <row r="5" spans="1:15" ht="33.75" customHeight="1" thickBot="1" x14ac:dyDescent="0.3">
      <c r="B5" s="1397" t="s">
        <v>613</v>
      </c>
      <c r="C5" s="1437"/>
      <c r="D5" s="1437"/>
      <c r="E5" s="1437"/>
      <c r="F5" s="1437"/>
      <c r="G5" s="1437"/>
      <c r="H5" s="1437"/>
      <c r="I5" s="1437"/>
      <c r="J5" s="1441"/>
      <c r="K5" s="519"/>
      <c r="L5" s="445"/>
    </row>
    <row r="6" spans="1:15" ht="6" customHeight="1" thickBot="1" x14ac:dyDescent="0.3"/>
    <row r="7" spans="1:15" ht="19.5" thickBot="1" x14ac:dyDescent="0.3">
      <c r="C7" s="1730" t="s">
        <v>743</v>
      </c>
      <c r="D7" s="1731"/>
      <c r="E7" s="1731"/>
      <c r="F7" s="1731"/>
      <c r="G7" s="1731"/>
      <c r="H7" s="1731"/>
      <c r="I7" s="1731"/>
      <c r="J7" s="1732"/>
    </row>
    <row r="8" spans="1:15" ht="8.25" customHeight="1" x14ac:dyDescent="0.25">
      <c r="J8" s="112"/>
    </row>
    <row r="9" spans="1:15" ht="35.25" customHeight="1" x14ac:dyDescent="0.25">
      <c r="A9" s="112"/>
      <c r="B9" s="146" t="s">
        <v>735</v>
      </c>
      <c r="C9" s="1733" t="s">
        <v>218</v>
      </c>
      <c r="D9" s="1733"/>
      <c r="E9" s="1733" t="s">
        <v>220</v>
      </c>
      <c r="F9" s="1733"/>
      <c r="G9" s="1733" t="s">
        <v>221</v>
      </c>
      <c r="H9" s="1733"/>
      <c r="I9" s="1733" t="s">
        <v>219</v>
      </c>
      <c r="J9" s="1733"/>
      <c r="K9" s="704" t="s">
        <v>735</v>
      </c>
      <c r="L9" s="118"/>
      <c r="M9" s="1710" t="s">
        <v>255</v>
      </c>
      <c r="N9" s="32"/>
    </row>
    <row r="10" spans="1:15" ht="19.5" customHeight="1" x14ac:dyDescent="0.25">
      <c r="A10" s="120"/>
      <c r="B10" s="120" t="s">
        <v>239</v>
      </c>
      <c r="C10" s="1646">
        <v>90</v>
      </c>
      <c r="D10" s="1714"/>
      <c r="E10" s="1646">
        <v>120</v>
      </c>
      <c r="F10" s="1714"/>
      <c r="G10" s="1646">
        <v>80</v>
      </c>
      <c r="H10" s="1714"/>
      <c r="I10" s="1646">
        <v>90</v>
      </c>
      <c r="J10" s="1714"/>
      <c r="K10" s="121" t="s">
        <v>85</v>
      </c>
      <c r="L10" s="121"/>
      <c r="M10" s="1746"/>
      <c r="N10" s="355"/>
      <c r="O10" s="386"/>
    </row>
    <row r="11" spans="1:15" ht="15.75" x14ac:dyDescent="0.25">
      <c r="A11" s="120"/>
      <c r="B11" s="120" t="s">
        <v>73</v>
      </c>
      <c r="C11" s="1711">
        <v>16.2</v>
      </c>
      <c r="D11" s="1712"/>
      <c r="E11" s="1711">
        <v>16.2</v>
      </c>
      <c r="F11" s="1712"/>
      <c r="G11" s="1711">
        <v>18.2</v>
      </c>
      <c r="H11" s="1712"/>
      <c r="I11" s="1711">
        <v>20</v>
      </c>
      <c r="J11" s="1712"/>
      <c r="K11" s="121" t="s">
        <v>73</v>
      </c>
      <c r="L11" s="121"/>
      <c r="M11" s="1746"/>
      <c r="N11" s="378"/>
      <c r="O11" s="354"/>
    </row>
    <row r="12" spans="1:15" ht="4.5" customHeight="1" x14ac:dyDescent="0.25">
      <c r="B12" s="41"/>
      <c r="C12" s="127"/>
      <c r="D12" s="169"/>
      <c r="E12" s="170"/>
      <c r="F12" s="171"/>
      <c r="G12" s="172"/>
      <c r="H12" s="171"/>
      <c r="I12" s="172"/>
      <c r="J12" s="173"/>
      <c r="K12" s="118"/>
      <c r="L12" s="118"/>
      <c r="M12" s="1746"/>
      <c r="N12" s="378"/>
      <c r="O12" s="354"/>
    </row>
    <row r="13" spans="1:15" ht="15" customHeight="1" x14ac:dyDescent="0.25">
      <c r="A13" s="43"/>
      <c r="B13" s="120" t="s">
        <v>263</v>
      </c>
      <c r="C13" s="1687">
        <f>C10*C11/6.25</f>
        <v>233.28</v>
      </c>
      <c r="D13" s="1713"/>
      <c r="E13" s="1687">
        <f>E10*E11/6.25</f>
        <v>311.04000000000002</v>
      </c>
      <c r="F13" s="1713"/>
      <c r="G13" s="1687">
        <f>G10*G11/6.25</f>
        <v>232.96</v>
      </c>
      <c r="H13" s="1713"/>
      <c r="I13" s="1687">
        <f>I10*I11/6.25</f>
        <v>288</v>
      </c>
      <c r="J13" s="1713"/>
      <c r="K13" s="118" t="s">
        <v>4</v>
      </c>
      <c r="L13" s="118"/>
      <c r="M13" s="1746"/>
      <c r="N13" s="378"/>
      <c r="O13" s="354"/>
    </row>
    <row r="14" spans="1:15" ht="34.5" customHeight="1" x14ac:dyDescent="0.25">
      <c r="A14" s="43"/>
      <c r="B14" s="514" t="s">
        <v>648</v>
      </c>
      <c r="C14" s="1715">
        <f>C10*0.8</f>
        <v>72</v>
      </c>
      <c r="D14" s="1745"/>
      <c r="E14" s="1715">
        <f t="shared" ref="E14" si="0">E10*0.8</f>
        <v>96</v>
      </c>
      <c r="F14" s="1745"/>
      <c r="G14" s="1715">
        <f t="shared" ref="G14" si="1">G10*0.8</f>
        <v>64</v>
      </c>
      <c r="H14" s="1745"/>
      <c r="I14" s="1715">
        <f t="shared" ref="I14" si="2">I10*0.8</f>
        <v>72</v>
      </c>
      <c r="J14" s="1745"/>
      <c r="K14" s="536" t="s">
        <v>649</v>
      </c>
      <c r="L14" s="118"/>
      <c r="M14" s="1746"/>
      <c r="N14" s="378"/>
      <c r="O14" s="354"/>
    </row>
    <row r="15" spans="1:15" ht="22.5" customHeight="1" x14ac:dyDescent="0.25">
      <c r="B15" s="41"/>
      <c r="C15" s="589" t="s">
        <v>250</v>
      </c>
      <c r="D15" s="588" t="s">
        <v>163</v>
      </c>
      <c r="E15" s="589" t="s">
        <v>250</v>
      </c>
      <c r="F15" s="588" t="s">
        <v>163</v>
      </c>
      <c r="G15" s="589" t="s">
        <v>250</v>
      </c>
      <c r="H15" s="588" t="s">
        <v>163</v>
      </c>
      <c r="I15" s="589" t="s">
        <v>250</v>
      </c>
      <c r="J15" s="588" t="s">
        <v>163</v>
      </c>
      <c r="M15" s="1746"/>
      <c r="N15" s="378"/>
      <c r="O15" s="354"/>
    </row>
    <row r="16" spans="1:15" ht="17.25" customHeight="1" x14ac:dyDescent="0.25">
      <c r="B16" s="146" t="s">
        <v>83</v>
      </c>
      <c r="C16" s="340">
        <v>10</v>
      </c>
      <c r="D16" s="590">
        <f>IF(C16="Reinbestand",C13,C16*3)</f>
        <v>30</v>
      </c>
      <c r="E16" s="340">
        <v>0</v>
      </c>
      <c r="F16" s="27">
        <f>IF(E16="Reinbestand",E13,E16*3)</f>
        <v>0</v>
      </c>
      <c r="G16" s="340">
        <v>50</v>
      </c>
      <c r="H16" s="27">
        <f>IF(G16="Reinbestand",G13,G16*3)</f>
        <v>150</v>
      </c>
      <c r="I16" s="340" t="s">
        <v>545</v>
      </c>
      <c r="J16" s="27">
        <f>IF(I16="Reinbestand",I13,I16*3)</f>
        <v>288</v>
      </c>
      <c r="K16" s="13" t="s">
        <v>4</v>
      </c>
      <c r="L16" s="13"/>
      <c r="M16" s="1746"/>
      <c r="N16" s="378"/>
      <c r="O16" s="354"/>
    </row>
    <row r="17" spans="2:15" ht="6" customHeight="1" x14ac:dyDescent="0.25">
      <c r="B17" s="41"/>
      <c r="C17" s="127"/>
      <c r="D17" s="27"/>
      <c r="E17" s="128"/>
      <c r="F17" s="71"/>
      <c r="G17" s="175"/>
      <c r="H17" s="71"/>
      <c r="I17" s="175"/>
      <c r="J17" s="27"/>
      <c r="K17" s="13"/>
      <c r="L17" s="13"/>
      <c r="M17" s="400"/>
      <c r="N17" s="378"/>
      <c r="O17" s="354"/>
    </row>
    <row r="18" spans="2:15" x14ac:dyDescent="0.25">
      <c r="B18" s="41" t="s">
        <v>1074</v>
      </c>
      <c r="C18" s="1718">
        <v>0</v>
      </c>
      <c r="D18" s="1719"/>
      <c r="E18" s="1718">
        <v>0</v>
      </c>
      <c r="F18" s="1719"/>
      <c r="G18" s="1718">
        <v>0</v>
      </c>
      <c r="H18" s="1719"/>
      <c r="I18" s="1718">
        <v>20</v>
      </c>
      <c r="J18" s="1719"/>
      <c r="K18" s="13" t="s">
        <v>216</v>
      </c>
      <c r="L18" s="13"/>
      <c r="M18" s="400"/>
      <c r="N18" s="378"/>
      <c r="O18" s="354"/>
    </row>
    <row r="19" spans="2:15" ht="9.75" customHeight="1" x14ac:dyDescent="0.25">
      <c r="B19" s="41"/>
      <c r="C19" s="127"/>
      <c r="D19" s="27"/>
      <c r="E19" s="128"/>
      <c r="F19" s="71"/>
      <c r="G19" s="175"/>
      <c r="H19" s="71"/>
      <c r="I19" s="175"/>
      <c r="J19" s="27"/>
      <c r="M19" s="400"/>
      <c r="N19" s="378"/>
      <c r="O19" s="354"/>
    </row>
    <row r="20" spans="2:15" ht="19.5" customHeight="1" x14ac:dyDescent="0.25">
      <c r="B20" s="141" t="s">
        <v>475</v>
      </c>
      <c r="C20" s="1717">
        <f>IF(C13-D16-C18&lt;0,0,C13-D16-C18)</f>
        <v>203.28</v>
      </c>
      <c r="D20" s="1717"/>
      <c r="E20" s="1679">
        <f t="shared" ref="E20" si="3">IF(E13-F16-E18&lt;0,0,E13-F16-E18)</f>
        <v>311.04000000000002</v>
      </c>
      <c r="F20" s="1747"/>
      <c r="G20" s="1679">
        <f t="shared" ref="G20" si="4">IF(G13-H16-G18&lt;0,0,G13-H16-G18)</f>
        <v>82.960000000000008</v>
      </c>
      <c r="H20" s="1747"/>
      <c r="I20" s="1679">
        <f t="shared" ref="I20" si="5">IF(I13-J16-I18&lt;0,0,I13-J16-I18)</f>
        <v>0</v>
      </c>
      <c r="J20" s="1747"/>
      <c r="K20" s="15" t="s">
        <v>477</v>
      </c>
      <c r="L20" s="13"/>
      <c r="M20" s="1293" t="s">
        <v>753</v>
      </c>
      <c r="N20" s="1746"/>
      <c r="O20" s="1746"/>
    </row>
    <row r="21" spans="2:15" x14ac:dyDescent="0.25">
      <c r="M21" s="1293"/>
      <c r="N21" s="1746"/>
      <c r="O21" s="1746"/>
    </row>
    <row r="22" spans="2:15" ht="15.75" customHeight="1" x14ac:dyDescent="0.25">
      <c r="B22" s="41" t="s">
        <v>189</v>
      </c>
      <c r="C22" s="1720"/>
      <c r="D22" s="1720"/>
      <c r="E22" s="1721"/>
      <c r="F22" s="1721"/>
      <c r="G22" s="1721"/>
      <c r="H22" s="1721"/>
      <c r="I22" s="1721"/>
      <c r="J22" s="1721"/>
      <c r="M22" s="1293"/>
      <c r="N22" s="1746"/>
      <c r="O22" s="1746"/>
    </row>
    <row r="23" spans="2:15" ht="15.75" customHeight="1" x14ac:dyDescent="0.25">
      <c r="B23" s="41" t="s">
        <v>190</v>
      </c>
      <c r="C23" s="1720"/>
      <c r="D23" s="1720"/>
      <c r="E23" s="1721"/>
      <c r="F23" s="1721"/>
      <c r="G23" s="1721"/>
      <c r="H23" s="1721"/>
      <c r="I23" s="1721"/>
      <c r="J23" s="1721"/>
      <c r="M23" s="1293"/>
      <c r="N23" s="1746"/>
      <c r="O23" s="1746"/>
    </row>
    <row r="24" spans="2:15" ht="15.75" customHeight="1" x14ac:dyDescent="0.25">
      <c r="B24" s="41" t="s">
        <v>191</v>
      </c>
      <c r="C24" s="1720"/>
      <c r="D24" s="1720"/>
      <c r="E24" s="1721"/>
      <c r="F24" s="1721"/>
      <c r="G24" s="1721"/>
      <c r="H24" s="1721"/>
      <c r="I24" s="1721"/>
      <c r="J24" s="1721"/>
      <c r="M24" s="1293"/>
      <c r="N24" s="1746"/>
      <c r="O24" s="1746"/>
    </row>
    <row r="25" spans="2:15" ht="15.75" customHeight="1" x14ac:dyDescent="0.25">
      <c r="B25" s="41" t="s">
        <v>193</v>
      </c>
      <c r="C25" s="1720"/>
      <c r="D25" s="1720"/>
      <c r="E25" s="1721"/>
      <c r="F25" s="1721"/>
      <c r="G25" s="1721"/>
      <c r="H25" s="1721"/>
      <c r="I25" s="1721"/>
      <c r="J25" s="1721"/>
      <c r="M25" s="1293"/>
      <c r="N25" s="1746"/>
      <c r="O25" s="1746"/>
    </row>
    <row r="26" spans="2:15" ht="15.75" customHeight="1" x14ac:dyDescent="0.25">
      <c r="B26" s="41" t="s">
        <v>194</v>
      </c>
      <c r="C26" s="1720"/>
      <c r="D26" s="1720"/>
      <c r="E26" s="1721"/>
      <c r="F26" s="1721"/>
      <c r="G26" s="1721"/>
      <c r="H26" s="1721"/>
      <c r="I26" s="1721"/>
      <c r="J26" s="1721"/>
      <c r="M26" s="1293"/>
      <c r="N26" s="1746"/>
      <c r="O26" s="1746"/>
    </row>
    <row r="27" spans="2:15" ht="15.75" customHeight="1" x14ac:dyDescent="0.25">
      <c r="B27" s="41" t="s">
        <v>192</v>
      </c>
      <c r="C27" s="1720"/>
      <c r="D27" s="1720"/>
      <c r="E27" s="1721"/>
      <c r="F27" s="1721"/>
      <c r="G27" s="1721"/>
      <c r="H27" s="1721"/>
      <c r="I27" s="1721"/>
      <c r="J27" s="1721"/>
      <c r="M27" s="400"/>
    </row>
    <row r="28" spans="2:15" ht="15.75" customHeight="1" x14ac:dyDescent="0.25">
      <c r="B28" s="41" t="s">
        <v>195</v>
      </c>
      <c r="C28" s="1720"/>
      <c r="D28" s="1720"/>
      <c r="E28" s="1721"/>
      <c r="F28" s="1721"/>
      <c r="G28" s="1721"/>
      <c r="H28" s="1721"/>
      <c r="I28" s="1721"/>
      <c r="J28" s="1721"/>
      <c r="M28" s="400"/>
    </row>
    <row r="29" spans="2:15" ht="15.75" customHeight="1" x14ac:dyDescent="0.25">
      <c r="B29" s="41" t="s">
        <v>217</v>
      </c>
      <c r="C29" s="1720"/>
      <c r="D29" s="1720"/>
      <c r="E29" s="1721"/>
      <c r="F29" s="1721"/>
      <c r="G29" s="1721"/>
      <c r="H29" s="1721"/>
      <c r="I29" s="1721"/>
      <c r="J29" s="1721"/>
      <c r="M29" s="400"/>
    </row>
    <row r="30" spans="2:15" ht="13.5" customHeight="1" x14ac:dyDescent="0.25">
      <c r="D30" s="112"/>
      <c r="F30" s="80"/>
      <c r="G30" s="80"/>
      <c r="H30" s="80"/>
      <c r="I30" s="80"/>
      <c r="O30" s="1739"/>
    </row>
    <row r="31" spans="2:15" ht="25.5" customHeight="1" x14ac:dyDescent="0.25">
      <c r="B31" s="142"/>
      <c r="C31" s="1453" t="s">
        <v>729</v>
      </c>
      <c r="D31" s="1674"/>
      <c r="E31" s="1674"/>
      <c r="F31" s="1674"/>
      <c r="G31" s="1674"/>
      <c r="H31" s="1674"/>
      <c r="I31" s="1674"/>
      <c r="J31" s="1748"/>
      <c r="K31" s="133"/>
      <c r="L31" s="220"/>
      <c r="M31" s="519" t="s">
        <v>183</v>
      </c>
      <c r="N31" s="122" t="s">
        <v>186</v>
      </c>
      <c r="O31" s="1739"/>
    </row>
    <row r="32" spans="2:15" ht="18.75" customHeight="1" x14ac:dyDescent="0.25">
      <c r="B32" s="143" t="s">
        <v>42</v>
      </c>
      <c r="C32" s="1717">
        <f>C20</f>
        <v>203.28</v>
      </c>
      <c r="D32" s="1717"/>
      <c r="E32" s="1717">
        <f>E20</f>
        <v>311.04000000000002</v>
      </c>
      <c r="F32" s="1717"/>
      <c r="G32" s="1717">
        <f>G20</f>
        <v>82.960000000000008</v>
      </c>
      <c r="H32" s="1717"/>
      <c r="I32" s="1717">
        <f>I20</f>
        <v>0</v>
      </c>
      <c r="J32" s="1717"/>
      <c r="K32" s="134" t="s">
        <v>4</v>
      </c>
      <c r="L32" s="221"/>
      <c r="M32" s="60" t="s">
        <v>179</v>
      </c>
      <c r="N32" s="60">
        <v>90</v>
      </c>
      <c r="O32" s="611"/>
    </row>
    <row r="33" spans="2:15" ht="18.75" customHeight="1" x14ac:dyDescent="0.25">
      <c r="B33" s="625" t="s">
        <v>732</v>
      </c>
      <c r="C33" s="1724"/>
      <c r="D33" s="1725"/>
      <c r="E33" s="1724"/>
      <c r="F33" s="1725"/>
      <c r="G33" s="1724"/>
      <c r="H33" s="1725"/>
      <c r="I33" s="1724"/>
      <c r="J33" s="1725"/>
      <c r="K33" s="624"/>
      <c r="L33" s="221"/>
      <c r="M33" s="60" t="s">
        <v>819</v>
      </c>
      <c r="N33" s="519">
        <v>70</v>
      </c>
      <c r="O33" s="611"/>
    </row>
    <row r="34" spans="2:15" ht="18.75" customHeight="1" x14ac:dyDescent="0.25">
      <c r="B34" s="626" t="s">
        <v>257</v>
      </c>
      <c r="C34" s="1726">
        <v>0</v>
      </c>
      <c r="D34" s="1727"/>
      <c r="E34" s="1726">
        <v>0</v>
      </c>
      <c r="F34" s="1727"/>
      <c r="G34" s="1726">
        <v>0</v>
      </c>
      <c r="H34" s="1727"/>
      <c r="I34" s="1726">
        <v>0</v>
      </c>
      <c r="J34" s="1727"/>
      <c r="K34" s="138" t="s">
        <v>491</v>
      </c>
      <c r="L34" s="221"/>
      <c r="M34" s="519" t="s">
        <v>820</v>
      </c>
      <c r="N34" s="519">
        <v>60</v>
      </c>
      <c r="O34" s="611"/>
    </row>
    <row r="35" spans="2:15" ht="18.75" customHeight="1" x14ac:dyDescent="0.25">
      <c r="B35" s="144" t="s">
        <v>258</v>
      </c>
      <c r="C35" s="1726">
        <v>0</v>
      </c>
      <c r="D35" s="1727"/>
      <c r="E35" s="1726">
        <v>0</v>
      </c>
      <c r="F35" s="1727"/>
      <c r="G35" s="1726">
        <v>0</v>
      </c>
      <c r="H35" s="1727"/>
      <c r="I35" s="1726">
        <v>0</v>
      </c>
      <c r="J35" s="1727"/>
      <c r="K35" s="139" t="s">
        <v>492</v>
      </c>
      <c r="L35" s="221"/>
      <c r="M35" s="60" t="s">
        <v>48</v>
      </c>
      <c r="N35" s="519">
        <v>60</v>
      </c>
      <c r="O35" s="611"/>
    </row>
    <row r="36" spans="2:15" ht="18.75" customHeight="1" x14ac:dyDescent="0.25">
      <c r="B36" s="144" t="s">
        <v>259</v>
      </c>
      <c r="C36" s="1726">
        <v>0</v>
      </c>
      <c r="D36" s="1727"/>
      <c r="E36" s="1726">
        <v>0</v>
      </c>
      <c r="F36" s="1727"/>
      <c r="G36" s="1726">
        <v>0</v>
      </c>
      <c r="H36" s="1727"/>
      <c r="I36" s="1726">
        <v>0</v>
      </c>
      <c r="J36" s="1727"/>
      <c r="K36" s="139" t="s">
        <v>260</v>
      </c>
      <c r="L36" s="221"/>
      <c r="M36" s="60" t="s">
        <v>821</v>
      </c>
      <c r="N36" s="60">
        <v>45</v>
      </c>
      <c r="O36" s="611"/>
    </row>
    <row r="37" spans="2:15" ht="18.75" customHeight="1" x14ac:dyDescent="0.25">
      <c r="B37" s="625" t="s">
        <v>731</v>
      </c>
      <c r="C37" s="1724"/>
      <c r="D37" s="1725"/>
      <c r="E37" s="1724"/>
      <c r="F37" s="1725"/>
      <c r="G37" s="1724"/>
      <c r="H37" s="1725"/>
      <c r="I37" s="1724"/>
      <c r="J37" s="1725"/>
      <c r="K37" s="623"/>
      <c r="L37" s="221"/>
      <c r="M37" s="519" t="s">
        <v>816</v>
      </c>
      <c r="N37" s="519">
        <v>30</v>
      </c>
      <c r="O37" s="611"/>
    </row>
    <row r="38" spans="2:15" ht="18.75" customHeight="1" x14ac:dyDescent="0.25">
      <c r="B38" s="626" t="s">
        <v>257</v>
      </c>
      <c r="C38" s="1726">
        <v>0</v>
      </c>
      <c r="D38" s="1727"/>
      <c r="E38" s="1726">
        <v>0</v>
      </c>
      <c r="F38" s="1727"/>
      <c r="G38" s="1726">
        <v>0</v>
      </c>
      <c r="H38" s="1727"/>
      <c r="I38" s="1726">
        <v>0</v>
      </c>
      <c r="J38" s="1727"/>
      <c r="K38" s="138" t="s">
        <v>491</v>
      </c>
      <c r="L38" s="13"/>
      <c r="M38" s="60" t="s">
        <v>1034</v>
      </c>
      <c r="N38" s="519">
        <v>30</v>
      </c>
      <c r="O38" s="611"/>
    </row>
    <row r="39" spans="2:15" ht="18.75" customHeight="1" x14ac:dyDescent="0.25">
      <c r="B39" s="144" t="s">
        <v>258</v>
      </c>
      <c r="C39" s="1726">
        <v>0</v>
      </c>
      <c r="D39" s="1727"/>
      <c r="E39" s="1726">
        <v>0</v>
      </c>
      <c r="F39" s="1727"/>
      <c r="G39" s="1726">
        <v>0</v>
      </c>
      <c r="H39" s="1727"/>
      <c r="I39" s="1726">
        <v>0</v>
      </c>
      <c r="J39" s="1727"/>
      <c r="K39" s="139" t="s">
        <v>492</v>
      </c>
      <c r="L39" s="222"/>
      <c r="M39" s="60" t="s">
        <v>825</v>
      </c>
      <c r="N39" s="519">
        <v>30</v>
      </c>
      <c r="O39" s="611"/>
    </row>
    <row r="40" spans="2:15" ht="18.75" customHeight="1" x14ac:dyDescent="0.25">
      <c r="B40" s="144" t="s">
        <v>259</v>
      </c>
      <c r="C40" s="1726">
        <v>0</v>
      </c>
      <c r="D40" s="1727"/>
      <c r="E40" s="1726">
        <v>0</v>
      </c>
      <c r="F40" s="1727"/>
      <c r="G40" s="1726">
        <v>0</v>
      </c>
      <c r="H40" s="1727"/>
      <c r="I40" s="1726">
        <v>0</v>
      </c>
      <c r="J40" s="1727"/>
      <c r="K40" s="139" t="s">
        <v>260</v>
      </c>
      <c r="L40" s="222"/>
      <c r="M40" s="60" t="s">
        <v>817</v>
      </c>
      <c r="N40" s="519">
        <v>25</v>
      </c>
      <c r="O40" s="611"/>
    </row>
    <row r="41" spans="2:15" ht="18.75" customHeight="1" x14ac:dyDescent="0.25">
      <c r="B41" s="144" t="s">
        <v>261</v>
      </c>
      <c r="C41" s="1728">
        <f>(C34*C35*C36/100)+(C38*C39*C40/100)</f>
        <v>0</v>
      </c>
      <c r="D41" s="1728"/>
      <c r="E41" s="1728">
        <f t="shared" ref="E41" si="6">(E34*E35*E36/100)+(E38*E39*E40/100)</f>
        <v>0</v>
      </c>
      <c r="F41" s="1728"/>
      <c r="G41" s="1728">
        <f t="shared" ref="G41" si="7">(G34*G35*G36/100)+(G38*G39*G40/100)</f>
        <v>0</v>
      </c>
      <c r="H41" s="1728"/>
      <c r="I41" s="1728">
        <f t="shared" ref="I41" si="8">(I34*I35*I36/100)+(I38*I39*I40/100)</f>
        <v>0</v>
      </c>
      <c r="J41" s="1728"/>
      <c r="K41" s="135" t="s">
        <v>4</v>
      </c>
      <c r="L41" s="223"/>
      <c r="M41" s="519" t="s">
        <v>818</v>
      </c>
      <c r="N41" s="519">
        <v>25</v>
      </c>
      <c r="O41" s="611"/>
    </row>
    <row r="42" spans="2:15" ht="18.75" customHeight="1" x14ac:dyDescent="0.25">
      <c r="B42" s="145" t="s">
        <v>136</v>
      </c>
      <c r="C42" s="1645">
        <f>C32-C41</f>
        <v>203.28</v>
      </c>
      <c r="D42" s="1645"/>
      <c r="E42" s="1645">
        <f>E32-E41</f>
        <v>311.04000000000002</v>
      </c>
      <c r="F42" s="1645"/>
      <c r="G42" s="1645">
        <f>G32-G41</f>
        <v>82.960000000000008</v>
      </c>
      <c r="H42" s="1645"/>
      <c r="I42" s="1645">
        <f>I32-I41</f>
        <v>0</v>
      </c>
      <c r="J42" s="1645"/>
      <c r="K42" s="136" t="s">
        <v>4</v>
      </c>
      <c r="L42" s="137"/>
      <c r="M42" s="519" t="s">
        <v>826</v>
      </c>
      <c r="N42" s="519">
        <v>10</v>
      </c>
      <c r="O42" s="611"/>
    </row>
    <row r="43" spans="2:15" ht="18.75" customHeight="1" x14ac:dyDescent="0.25">
      <c r="K43" s="3"/>
      <c r="L43" s="3"/>
      <c r="M43" s="519" t="s">
        <v>181</v>
      </c>
      <c r="N43" s="519">
        <v>10</v>
      </c>
      <c r="O43" s="611"/>
    </row>
    <row r="44" spans="2:15" ht="16.5" customHeight="1" x14ac:dyDescent="0.25">
      <c r="B44" s="302"/>
      <c r="C44" s="176" t="s">
        <v>199</v>
      </c>
      <c r="D44" s="111"/>
      <c r="E44" s="111"/>
      <c r="F44" s="177"/>
      <c r="G44" s="177"/>
      <c r="H44" s="177"/>
      <c r="I44" s="177"/>
      <c r="J44" s="111"/>
      <c r="K44" s="119"/>
      <c r="L44" s="3"/>
      <c r="O44"/>
    </row>
    <row r="45" spans="2:15" ht="27" customHeight="1" x14ac:dyDescent="0.25">
      <c r="B45" s="127"/>
      <c r="C45" s="41" t="s">
        <v>93</v>
      </c>
      <c r="D45" s="1468" t="s">
        <v>683</v>
      </c>
      <c r="E45" s="1470"/>
      <c r="F45" s="1468" t="s">
        <v>548</v>
      </c>
      <c r="G45" s="1470"/>
      <c r="H45" s="1468" t="s">
        <v>684</v>
      </c>
      <c r="I45" s="1470"/>
      <c r="J45" s="1468" t="s">
        <v>738</v>
      </c>
      <c r="K45" s="1470"/>
      <c r="L45" s="114"/>
      <c r="M45" s="106"/>
      <c r="N45" s="519"/>
      <c r="O45" s="519"/>
    </row>
    <row r="46" spans="2:15" ht="28.5" customHeight="1" x14ac:dyDescent="0.25">
      <c r="B46" s="127"/>
      <c r="C46" s="41" t="s">
        <v>85</v>
      </c>
      <c r="D46" s="1749">
        <v>150</v>
      </c>
      <c r="E46" s="1750"/>
      <c r="F46" s="1749">
        <v>120</v>
      </c>
      <c r="G46" s="1750"/>
      <c r="H46" s="1749">
        <v>120</v>
      </c>
      <c r="I46" s="1750"/>
      <c r="J46" s="1749">
        <v>120</v>
      </c>
      <c r="K46" s="1750"/>
      <c r="L46" s="114"/>
      <c r="M46" s="106"/>
      <c r="N46"/>
      <c r="O46" s="519"/>
    </row>
    <row r="47" spans="2:15" ht="18" customHeight="1" x14ac:dyDescent="0.25">
      <c r="B47" s="127"/>
      <c r="C47" s="41" t="s">
        <v>201</v>
      </c>
      <c r="D47" s="1749">
        <v>16.600000000000001</v>
      </c>
      <c r="E47" s="1337"/>
      <c r="F47" s="1749">
        <v>16.2</v>
      </c>
      <c r="G47" s="1344"/>
      <c r="H47" s="1749">
        <v>18.2</v>
      </c>
      <c r="I47" s="1344"/>
      <c r="J47" s="1749">
        <v>20.5</v>
      </c>
      <c r="K47" s="1344"/>
      <c r="L47" s="400"/>
      <c r="N47"/>
      <c r="O47"/>
    </row>
    <row r="48" spans="2:15" ht="18" customHeight="1" x14ac:dyDescent="0.25">
      <c r="B48" s="306"/>
      <c r="C48" s="85" t="s">
        <v>204</v>
      </c>
      <c r="D48" s="1752">
        <f>D46*D47/6.25</f>
        <v>398.4</v>
      </c>
      <c r="E48" s="1753"/>
      <c r="F48" s="1752">
        <f>F46*F47/6.25</f>
        <v>311.04000000000002</v>
      </c>
      <c r="G48" s="1754"/>
      <c r="H48" s="1752">
        <f t="shared" ref="H48" si="9">H46*H47/6.25</f>
        <v>349.44</v>
      </c>
      <c r="I48" s="1754"/>
      <c r="J48" s="1752">
        <f t="shared" ref="J48" si="10">J46*J47/6.25</f>
        <v>393.6</v>
      </c>
      <c r="K48" s="1754"/>
      <c r="L48" s="541"/>
      <c r="N48"/>
    </row>
    <row r="49" spans="2:12" ht="7.5" customHeight="1" x14ac:dyDescent="0.25">
      <c r="F49" s="80"/>
      <c r="G49" s="80"/>
      <c r="H49" s="80"/>
      <c r="I49" s="80"/>
      <c r="K49" s="3"/>
      <c r="L49" s="3"/>
    </row>
    <row r="50" spans="2:12" ht="17.25" customHeight="1" x14ac:dyDescent="0.25">
      <c r="B50" s="302"/>
      <c r="C50" s="176" t="s">
        <v>212</v>
      </c>
      <c r="D50" s="111"/>
      <c r="E50" s="111"/>
      <c r="F50" s="111"/>
      <c r="G50" s="111"/>
      <c r="H50" s="177"/>
      <c r="I50" s="177"/>
      <c r="J50" s="706"/>
      <c r="K50" s="3"/>
      <c r="L50" s="3"/>
    </row>
    <row r="51" spans="2:12" ht="17.25" customHeight="1" x14ac:dyDescent="0.25">
      <c r="B51" s="127"/>
      <c r="C51" s="121"/>
      <c r="F51" s="80"/>
      <c r="G51" s="80"/>
      <c r="H51" s="1468" t="s">
        <v>749</v>
      </c>
      <c r="I51" s="1379"/>
      <c r="J51" s="1380"/>
      <c r="K51" s="3"/>
      <c r="L51" s="3"/>
    </row>
    <row r="52" spans="2:12" ht="24" x14ac:dyDescent="0.25">
      <c r="B52" s="70" t="s">
        <v>93</v>
      </c>
      <c r="C52" s="1751" t="s">
        <v>747</v>
      </c>
      <c r="D52" s="1331"/>
      <c r="E52" s="1332"/>
      <c r="F52" s="1468" t="s">
        <v>748</v>
      </c>
      <c r="G52" s="1379"/>
      <c r="H52" s="636" t="s">
        <v>750</v>
      </c>
      <c r="I52" s="637" t="s">
        <v>751</v>
      </c>
      <c r="J52" s="635" t="s">
        <v>752</v>
      </c>
      <c r="K52" s="400"/>
      <c r="L52" s="400"/>
    </row>
    <row r="53" spans="2:12" x14ac:dyDescent="0.25">
      <c r="B53" s="70" t="s">
        <v>85</v>
      </c>
      <c r="C53" s="127">
        <v>70</v>
      </c>
      <c r="D53" s="114">
        <v>90</v>
      </c>
      <c r="E53" s="150">
        <v>110</v>
      </c>
      <c r="F53" s="574">
        <v>95</v>
      </c>
      <c r="G53" s="114">
        <v>110</v>
      </c>
      <c r="H53" s="127">
        <v>100</v>
      </c>
      <c r="I53" s="114">
        <v>65</v>
      </c>
      <c r="J53" s="721">
        <v>45</v>
      </c>
      <c r="K53" s="400"/>
      <c r="L53" s="400"/>
    </row>
    <row r="54" spans="2:12" x14ac:dyDescent="0.25">
      <c r="B54" s="70" t="s">
        <v>201</v>
      </c>
      <c r="C54" s="127">
        <v>16</v>
      </c>
      <c r="D54" s="114">
        <v>16.5</v>
      </c>
      <c r="E54" s="150">
        <v>16.5</v>
      </c>
      <c r="F54" s="574">
        <v>18</v>
      </c>
      <c r="G54" s="114">
        <v>18</v>
      </c>
      <c r="H54" s="127">
        <v>16.399999999999999</v>
      </c>
      <c r="I54" s="114">
        <v>16</v>
      </c>
      <c r="J54" s="721">
        <v>15</v>
      </c>
      <c r="K54" s="400"/>
      <c r="L54" s="400"/>
    </row>
    <row r="55" spans="2:12" x14ac:dyDescent="0.25">
      <c r="B55" s="204" t="s">
        <v>204</v>
      </c>
      <c r="C55" s="720">
        <f>C53*C54/6.25</f>
        <v>179.2</v>
      </c>
      <c r="D55" s="622">
        <f t="shared" ref="D55:F55" si="11">D53*D54/6.25</f>
        <v>237.6</v>
      </c>
      <c r="E55" s="634">
        <f t="shared" si="11"/>
        <v>290.39999999999998</v>
      </c>
      <c r="F55" s="720">
        <f t="shared" si="11"/>
        <v>273.60000000000002</v>
      </c>
      <c r="G55" s="622">
        <f>G53*G54/6.25</f>
        <v>316.8</v>
      </c>
      <c r="H55" s="720">
        <f t="shared" ref="H55:J55" si="12">H53*H54/6.25</f>
        <v>262.39999999999998</v>
      </c>
      <c r="I55" s="622">
        <f t="shared" si="12"/>
        <v>166.4</v>
      </c>
      <c r="J55" s="634">
        <f t="shared" si="12"/>
        <v>108</v>
      </c>
      <c r="K55" s="400"/>
      <c r="L55" s="541"/>
    </row>
    <row r="56" spans="2:12" x14ac:dyDescent="0.25">
      <c r="F56" s="80"/>
      <c r="G56" s="80"/>
      <c r="H56" s="80"/>
      <c r="I56" s="80"/>
      <c r="K56" s="3"/>
      <c r="L56" s="3"/>
    </row>
    <row r="57" spans="2:12" x14ac:dyDescent="0.25">
      <c r="C57" s="1710" t="s">
        <v>205</v>
      </c>
      <c r="D57" s="1293"/>
      <c r="E57" s="1293"/>
      <c r="F57" s="1293"/>
      <c r="G57" s="1293"/>
      <c r="H57" s="1293"/>
      <c r="I57" s="1293"/>
      <c r="K57" s="3"/>
      <c r="L57" s="3"/>
    </row>
    <row r="58" spans="2:12" x14ac:dyDescent="0.25">
      <c r="C58" s="1293"/>
      <c r="D58" s="1293"/>
      <c r="E58" s="1293"/>
      <c r="F58" s="1293"/>
      <c r="G58" s="1293"/>
      <c r="H58" s="1293"/>
      <c r="I58" s="1293"/>
      <c r="K58" s="3"/>
      <c r="L58" s="3"/>
    </row>
    <row r="59" spans="2:12" x14ac:dyDescent="0.25">
      <c r="C59" s="1293"/>
      <c r="D59" s="1293"/>
      <c r="E59" s="1293"/>
      <c r="F59" s="1293"/>
      <c r="G59" s="1293"/>
      <c r="H59" s="1293"/>
      <c r="I59" s="1293"/>
      <c r="K59" s="3"/>
      <c r="L59" s="3"/>
    </row>
  </sheetData>
  <sheetProtection sheet="1" formatCells="0" formatColumns="0" formatRows="0" selectLockedCells="1"/>
  <mergeCells count="130">
    <mergeCell ref="H51:J51"/>
    <mergeCell ref="C52:E52"/>
    <mergeCell ref="F52:G52"/>
    <mergeCell ref="C57:I59"/>
    <mergeCell ref="D47:E47"/>
    <mergeCell ref="F47:G47"/>
    <mergeCell ref="H47:I47"/>
    <mergeCell ref="J47:K47"/>
    <mergeCell ref="D48:E48"/>
    <mergeCell ref="F48:G48"/>
    <mergeCell ref="H48:I48"/>
    <mergeCell ref="J48:K48"/>
    <mergeCell ref="D45:E45"/>
    <mergeCell ref="F45:G45"/>
    <mergeCell ref="H45:I45"/>
    <mergeCell ref="J45:K45"/>
    <mergeCell ref="D46:E46"/>
    <mergeCell ref="F46:G46"/>
    <mergeCell ref="H46:I46"/>
    <mergeCell ref="J46:K46"/>
    <mergeCell ref="C41:D41"/>
    <mergeCell ref="E41:F41"/>
    <mergeCell ref="G41:H41"/>
    <mergeCell ref="I41:J41"/>
    <mergeCell ref="C42:D42"/>
    <mergeCell ref="E42:F42"/>
    <mergeCell ref="G42:H42"/>
    <mergeCell ref="I42:J42"/>
    <mergeCell ref="C40:D40"/>
    <mergeCell ref="E40:F40"/>
    <mergeCell ref="G40:H40"/>
    <mergeCell ref="I40:J40"/>
    <mergeCell ref="C38:D38"/>
    <mergeCell ref="E38:F38"/>
    <mergeCell ref="G38:H38"/>
    <mergeCell ref="I38:J38"/>
    <mergeCell ref="C39:D39"/>
    <mergeCell ref="E39:F39"/>
    <mergeCell ref="G39:H39"/>
    <mergeCell ref="I39:J39"/>
    <mergeCell ref="C37:D37"/>
    <mergeCell ref="E37:F37"/>
    <mergeCell ref="G37:H37"/>
    <mergeCell ref="I37:J37"/>
    <mergeCell ref="C35:D35"/>
    <mergeCell ref="E35:F35"/>
    <mergeCell ref="G35:H35"/>
    <mergeCell ref="I35:J35"/>
    <mergeCell ref="C36:D36"/>
    <mergeCell ref="E36:F36"/>
    <mergeCell ref="G36:H36"/>
    <mergeCell ref="I36:J36"/>
    <mergeCell ref="C33:D33"/>
    <mergeCell ref="E33:F33"/>
    <mergeCell ref="G33:H33"/>
    <mergeCell ref="I33:J33"/>
    <mergeCell ref="C34:D34"/>
    <mergeCell ref="E34:F34"/>
    <mergeCell ref="G34:H34"/>
    <mergeCell ref="I34:J34"/>
    <mergeCell ref="O30:O31"/>
    <mergeCell ref="C31:J31"/>
    <mergeCell ref="C32:D32"/>
    <mergeCell ref="E32:F32"/>
    <mergeCell ref="G32:H32"/>
    <mergeCell ref="I32:J32"/>
    <mergeCell ref="C28:D28"/>
    <mergeCell ref="E28:F28"/>
    <mergeCell ref="G28:H28"/>
    <mergeCell ref="I28:J28"/>
    <mergeCell ref="C29:D29"/>
    <mergeCell ref="E29:F29"/>
    <mergeCell ref="G29:H29"/>
    <mergeCell ref="I29:J29"/>
    <mergeCell ref="C26:D26"/>
    <mergeCell ref="E26:F26"/>
    <mergeCell ref="G26:H26"/>
    <mergeCell ref="I26:J26"/>
    <mergeCell ref="C27:D27"/>
    <mergeCell ref="E27:F27"/>
    <mergeCell ref="G27:H27"/>
    <mergeCell ref="I27:J27"/>
    <mergeCell ref="E24:F24"/>
    <mergeCell ref="G24:H24"/>
    <mergeCell ref="I24:J24"/>
    <mergeCell ref="C25:D25"/>
    <mergeCell ref="E25:F25"/>
    <mergeCell ref="G25:H25"/>
    <mergeCell ref="I25:J25"/>
    <mergeCell ref="M20:O26"/>
    <mergeCell ref="C22:D22"/>
    <mergeCell ref="E22:F22"/>
    <mergeCell ref="G22:H22"/>
    <mergeCell ref="I22:J22"/>
    <mergeCell ref="C23:D23"/>
    <mergeCell ref="E23:F23"/>
    <mergeCell ref="G23:H23"/>
    <mergeCell ref="I23:J23"/>
    <mergeCell ref="C24:D24"/>
    <mergeCell ref="C18:D18"/>
    <mergeCell ref="E18:F18"/>
    <mergeCell ref="G18:H18"/>
    <mergeCell ref="I18:J18"/>
    <mergeCell ref="C20:D20"/>
    <mergeCell ref="E20:F20"/>
    <mergeCell ref="G20:H20"/>
    <mergeCell ref="I20:J20"/>
    <mergeCell ref="E13:F13"/>
    <mergeCell ref="G13:H13"/>
    <mergeCell ref="I13:J13"/>
    <mergeCell ref="C14:D14"/>
    <mergeCell ref="E14:F14"/>
    <mergeCell ref="G14:H14"/>
    <mergeCell ref="I14:J14"/>
    <mergeCell ref="B5:J5"/>
    <mergeCell ref="C7:J7"/>
    <mergeCell ref="C9:D9"/>
    <mergeCell ref="E9:F9"/>
    <mergeCell ref="G9:H9"/>
    <mergeCell ref="I9:J9"/>
    <mergeCell ref="M9:M16"/>
    <mergeCell ref="C10:D10"/>
    <mergeCell ref="E10:F10"/>
    <mergeCell ref="G10:H10"/>
    <mergeCell ref="I10:J10"/>
    <mergeCell ref="C11:D11"/>
    <mergeCell ref="E11:F11"/>
    <mergeCell ref="G11:H11"/>
    <mergeCell ref="I11:J11"/>
    <mergeCell ref="C13:D13"/>
  </mergeCells>
  <dataValidations count="1">
    <dataValidation type="list" allowBlank="1" sqref="C16 E16 G16 I16" xr:uid="{00000000-0002-0000-2200-000000000000}">
      <formula1>"0,10,20,30,40,50,60,70,80,90,Reinbestand"</formula1>
    </dataValidation>
  </dataValidations>
  <pageMargins left="0.25" right="0.25" top="0.75" bottom="0.75" header="0.3" footer="0.3"/>
  <pageSetup paperSize="9" scale="75" orientation="landscape" horizontalDpi="4294967293" verticalDpi="4294967293"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Tabelle48"/>
  <dimension ref="B3:F30"/>
  <sheetViews>
    <sheetView workbookViewId="0"/>
  </sheetViews>
  <sheetFormatPr baseColWidth="10" defaultRowHeight="15.75" x14ac:dyDescent="0.25"/>
  <cols>
    <col min="1" max="1" width="11.42578125" style="655"/>
    <col min="2" max="2" width="33.28515625" style="655" customWidth="1"/>
    <col min="3" max="4" width="11.42578125" style="655"/>
    <col min="5" max="5" width="35.7109375" style="655" customWidth="1"/>
    <col min="6" max="16384" width="11.42578125" style="655"/>
  </cols>
  <sheetData>
    <row r="3" spans="2:6" x14ac:dyDescent="0.25">
      <c r="B3" s="393"/>
      <c r="C3" s="518" t="s">
        <v>5</v>
      </c>
      <c r="D3" s="393"/>
      <c r="E3" s="393"/>
      <c r="F3" s="518" t="s">
        <v>5</v>
      </c>
    </row>
    <row r="4" spans="2:6" x14ac:dyDescent="0.25">
      <c r="B4" s="518" t="s">
        <v>6</v>
      </c>
      <c r="C4" s="393"/>
      <c r="D4" s="393"/>
      <c r="E4" s="518" t="s">
        <v>159</v>
      </c>
      <c r="F4" s="393"/>
    </row>
    <row r="5" spans="2:6" x14ac:dyDescent="0.25">
      <c r="B5" s="393" t="s">
        <v>510</v>
      </c>
      <c r="C5" s="393">
        <v>0</v>
      </c>
      <c r="D5" s="393"/>
      <c r="E5" s="393" t="s">
        <v>160</v>
      </c>
      <c r="F5" s="393">
        <v>0</v>
      </c>
    </row>
    <row r="6" spans="2:6" x14ac:dyDescent="0.25">
      <c r="B6" s="393" t="s">
        <v>22</v>
      </c>
      <c r="C6" s="393">
        <v>10</v>
      </c>
      <c r="D6" s="393"/>
      <c r="E6" s="393" t="s">
        <v>161</v>
      </c>
      <c r="F6" s="393">
        <v>20</v>
      </c>
    </row>
    <row r="7" spans="2:6" x14ac:dyDescent="0.25">
      <c r="B7" s="393" t="s">
        <v>535</v>
      </c>
      <c r="C7" s="393">
        <v>10</v>
      </c>
      <c r="D7" s="393"/>
      <c r="E7" s="393"/>
      <c r="F7" s="393"/>
    </row>
    <row r="8" spans="2:6" x14ac:dyDescent="0.25">
      <c r="B8" s="393" t="s">
        <v>7</v>
      </c>
      <c r="C8" s="393">
        <v>10</v>
      </c>
      <c r="D8" s="393"/>
      <c r="E8" s="518" t="s">
        <v>802</v>
      </c>
      <c r="F8" s="393"/>
    </row>
    <row r="9" spans="2:6" x14ac:dyDescent="0.25">
      <c r="B9" s="393" t="s">
        <v>17</v>
      </c>
      <c r="C9" s="393">
        <v>20</v>
      </c>
      <c r="D9" s="393"/>
      <c r="E9" s="393" t="s">
        <v>114</v>
      </c>
      <c r="F9" s="393">
        <v>15</v>
      </c>
    </row>
    <row r="10" spans="2:6" x14ac:dyDescent="0.25">
      <c r="B10" s="393" t="s">
        <v>23</v>
      </c>
      <c r="C10" s="393">
        <v>0</v>
      </c>
      <c r="D10" s="393"/>
      <c r="E10" s="393" t="s">
        <v>116</v>
      </c>
      <c r="F10" s="393">
        <v>7</v>
      </c>
    </row>
    <row r="11" spans="2:6" x14ac:dyDescent="0.25">
      <c r="B11" s="393" t="s">
        <v>20</v>
      </c>
      <c r="C11" s="393">
        <v>20</v>
      </c>
      <c r="D11" s="393"/>
      <c r="E11" s="393" t="s">
        <v>117</v>
      </c>
      <c r="F11" s="393">
        <v>0</v>
      </c>
    </row>
    <row r="12" spans="2:6" x14ac:dyDescent="0.25">
      <c r="B12" s="393" t="s">
        <v>19</v>
      </c>
      <c r="C12" s="393">
        <v>10</v>
      </c>
      <c r="D12" s="393"/>
      <c r="E12" s="393" t="s">
        <v>118</v>
      </c>
      <c r="F12" s="393">
        <v>-15</v>
      </c>
    </row>
    <row r="13" spans="2:6" x14ac:dyDescent="0.25">
      <c r="B13" s="393" t="s">
        <v>536</v>
      </c>
      <c r="C13" s="393">
        <v>0</v>
      </c>
      <c r="D13" s="393"/>
      <c r="E13" s="393" t="s">
        <v>119</v>
      </c>
      <c r="F13" s="393">
        <v>-25</v>
      </c>
    </row>
    <row r="14" spans="2:6" x14ac:dyDescent="0.25">
      <c r="B14" s="393" t="s">
        <v>21</v>
      </c>
      <c r="C14" s="393">
        <v>10</v>
      </c>
      <c r="D14" s="393"/>
      <c r="E14" s="393" t="s">
        <v>121</v>
      </c>
      <c r="F14" s="393">
        <v>-35</v>
      </c>
    </row>
    <row r="15" spans="2:6" x14ac:dyDescent="0.25">
      <c r="B15" s="393" t="s">
        <v>18</v>
      </c>
      <c r="C15" s="393">
        <v>20</v>
      </c>
      <c r="D15" s="393"/>
      <c r="E15" s="393" t="s">
        <v>120</v>
      </c>
      <c r="F15" s="393">
        <v>-45</v>
      </c>
    </row>
    <row r="16" spans="2:6" x14ac:dyDescent="0.25">
      <c r="B16" s="656"/>
      <c r="C16" s="393"/>
      <c r="D16" s="252"/>
      <c r="E16" s="393"/>
      <c r="F16" s="393"/>
    </row>
    <row r="17" spans="2:6" x14ac:dyDescent="0.25">
      <c r="B17" s="656"/>
      <c r="C17" s="393"/>
      <c r="D17" s="252"/>
      <c r="E17" s="393"/>
      <c r="F17" s="393"/>
    </row>
    <row r="18" spans="2:6" x14ac:dyDescent="0.25">
      <c r="B18" s="518" t="s">
        <v>8</v>
      </c>
      <c r="C18" s="393"/>
      <c r="D18" s="393"/>
      <c r="E18" s="393"/>
      <c r="F18" s="393"/>
    </row>
    <row r="19" spans="2:6" x14ac:dyDescent="0.25">
      <c r="B19" s="393" t="s">
        <v>31</v>
      </c>
      <c r="C19" s="393">
        <v>0</v>
      </c>
      <c r="D19" s="393"/>
      <c r="E19" s="518" t="s">
        <v>49</v>
      </c>
      <c r="F19" s="393"/>
    </row>
    <row r="20" spans="2:6" x14ac:dyDescent="0.25">
      <c r="B20" s="393" t="s">
        <v>25</v>
      </c>
      <c r="C20" s="393">
        <v>0</v>
      </c>
      <c r="D20" s="393"/>
      <c r="E20" s="393" t="s">
        <v>1225</v>
      </c>
      <c r="F20" s="393">
        <v>1</v>
      </c>
    </row>
    <row r="21" spans="2:6" x14ac:dyDescent="0.25">
      <c r="B21" s="393" t="s">
        <v>26</v>
      </c>
      <c r="C21" s="393">
        <v>0</v>
      </c>
      <c r="D21" s="393"/>
      <c r="E21" s="393" t="s">
        <v>184</v>
      </c>
      <c r="F21" s="393">
        <v>0.5</v>
      </c>
    </row>
    <row r="22" spans="2:6" x14ac:dyDescent="0.25">
      <c r="B22" s="393" t="s">
        <v>27</v>
      </c>
      <c r="C22" s="393">
        <v>20</v>
      </c>
      <c r="D22" s="393"/>
      <c r="E22" s="393" t="s">
        <v>1227</v>
      </c>
      <c r="F22" s="393">
        <v>0.6</v>
      </c>
    </row>
    <row r="23" spans="2:6" x14ac:dyDescent="0.25">
      <c r="B23" s="393" t="s">
        <v>28</v>
      </c>
      <c r="C23" s="393">
        <v>10</v>
      </c>
      <c r="D23" s="393"/>
      <c r="E23" s="393" t="s">
        <v>1228</v>
      </c>
      <c r="F23" s="393">
        <v>0.4</v>
      </c>
    </row>
    <row r="24" spans="2:6" x14ac:dyDescent="0.25">
      <c r="B24" s="393" t="s">
        <v>29</v>
      </c>
      <c r="C24" s="393">
        <v>10</v>
      </c>
      <c r="D24" s="393"/>
      <c r="E24" s="393" t="s">
        <v>1226</v>
      </c>
      <c r="F24" s="393">
        <v>0.35</v>
      </c>
    </row>
    <row r="25" spans="2:6" x14ac:dyDescent="0.25">
      <c r="B25" s="393" t="s">
        <v>681</v>
      </c>
      <c r="C25" s="393">
        <v>30</v>
      </c>
      <c r="D25" s="393"/>
      <c r="E25" s="393" t="s">
        <v>48</v>
      </c>
      <c r="F25" s="393">
        <v>0.3</v>
      </c>
    </row>
    <row r="26" spans="2:6" x14ac:dyDescent="0.25">
      <c r="B26" s="393" t="s">
        <v>30</v>
      </c>
      <c r="C26" s="393">
        <v>40</v>
      </c>
      <c r="D26" s="393"/>
      <c r="E26" s="393" t="s">
        <v>31</v>
      </c>
      <c r="F26" s="393">
        <v>0</v>
      </c>
    </row>
    <row r="27" spans="2:6" x14ac:dyDescent="0.25">
      <c r="B27" s="393" t="s">
        <v>9</v>
      </c>
      <c r="C27" s="393">
        <v>0</v>
      </c>
      <c r="D27" s="393"/>
    </row>
    <row r="28" spans="2:6" x14ac:dyDescent="0.25">
      <c r="B28" s="393" t="s">
        <v>10</v>
      </c>
      <c r="C28" s="393">
        <v>10</v>
      </c>
      <c r="D28" s="252"/>
      <c r="E28" s="252"/>
      <c r="F28" s="252"/>
    </row>
    <row r="29" spans="2:6" x14ac:dyDescent="0.25">
      <c r="B29" s="393" t="s">
        <v>31</v>
      </c>
      <c r="C29" s="393">
        <v>0</v>
      </c>
      <c r="D29" s="252"/>
      <c r="E29" s="252"/>
      <c r="F29" s="252"/>
    </row>
    <row r="30" spans="2:6" x14ac:dyDescent="0.25">
      <c r="B30" s="252"/>
      <c r="C30" s="252"/>
      <c r="D30" s="252"/>
      <c r="E30" s="252"/>
      <c r="F30" s="252"/>
    </row>
  </sheetData>
  <sheetProtection sheet="1" objects="1" scenarios="1" selectLockedCells="1" selectUnlockedCells="1"/>
  <dataValidations count="1">
    <dataValidation type="list" allowBlank="1" sqref="E5:E6" xr:uid="{00000000-0002-0000-2300-000000000000}">
      <formula1>"Humusgehalt"</formula1>
    </dataValidation>
  </dataValidations>
  <pageMargins left="0.7" right="0.7" top="0.78740157499999996" bottom="0.78740157499999996" header="0.3" footer="0.3"/>
  <pageSetup paperSize="9" orientation="portrait"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AD482-EA98-4915-8EDD-D87E060207E2}">
  <sheetPr>
    <tabColor theme="6"/>
  </sheetPr>
  <dimension ref="A1:CG111"/>
  <sheetViews>
    <sheetView zoomScale="90" zoomScaleNormal="90" workbookViewId="0">
      <selection activeCell="B8" sqref="B8"/>
    </sheetView>
  </sheetViews>
  <sheetFormatPr baseColWidth="10" defaultRowHeight="15.75" x14ac:dyDescent="0.25"/>
  <cols>
    <col min="1" max="1" width="20.42578125" style="112" customWidth="1"/>
    <col min="2" max="2" width="8.7109375" style="80" customWidth="1"/>
    <col min="3" max="3" width="22.140625" style="80" customWidth="1"/>
    <col min="4" max="4" width="6.85546875" style="112" customWidth="1"/>
    <col min="5" max="6" width="8.5703125" style="80" customWidth="1"/>
    <col min="7" max="7" width="11.140625" style="80" customWidth="1"/>
    <col min="8" max="8" width="16.28515625" style="80" customWidth="1"/>
    <col min="9" max="9" width="5.42578125" style="80" customWidth="1"/>
    <col min="10" max="10" width="16.7109375" style="80" customWidth="1"/>
    <col min="11" max="11" width="4.28515625" style="80" customWidth="1"/>
    <col min="12" max="12" width="6.85546875" style="80" customWidth="1"/>
    <col min="13" max="13" width="8" style="80" customWidth="1"/>
    <col min="14" max="14" width="9.140625" style="80" customWidth="1"/>
    <col min="15" max="15" width="4" style="80" customWidth="1"/>
    <col min="16" max="16" width="12" style="80" customWidth="1"/>
    <col min="17" max="17" width="8.85546875" style="112" customWidth="1"/>
    <col min="18" max="18" width="12.85546875" style="241" customWidth="1"/>
    <col min="19" max="19" width="8.85546875" style="241" customWidth="1"/>
    <col min="20" max="20" width="9.140625" style="80" customWidth="1"/>
    <col min="21" max="21" width="1.85546875" style="80" customWidth="1"/>
    <col min="22" max="22" width="14.7109375" style="80" customWidth="1"/>
    <col min="23" max="23" width="11.42578125" style="80" customWidth="1"/>
    <col min="24" max="24" width="10.7109375" style="80" customWidth="1"/>
    <col min="25" max="25" width="12.140625" style="80" customWidth="1"/>
    <col min="26" max="26" width="5.85546875" style="80" customWidth="1"/>
    <col min="27" max="27" width="7.140625" style="80" customWidth="1"/>
    <col min="28" max="29" width="6.28515625" style="80" customWidth="1"/>
    <col min="30" max="30" width="1.28515625" style="80" customWidth="1"/>
    <col min="31" max="31" width="10" style="80" customWidth="1"/>
    <col min="32" max="32" width="12.28515625" style="80" customWidth="1"/>
    <col min="33" max="33" width="6.5703125" style="80" customWidth="1"/>
    <col min="34" max="36" width="6.85546875" style="80" customWidth="1"/>
    <col min="37" max="37" width="1.28515625" style="80" customWidth="1"/>
    <col min="38" max="38" width="10.140625" style="80" customWidth="1"/>
    <col min="39" max="39" width="12.42578125" style="80" customWidth="1"/>
    <col min="40" max="40" width="6.5703125" style="80" customWidth="1"/>
    <col min="41" max="43" width="6.140625" style="80" customWidth="1"/>
    <col min="44" max="44" width="1" style="80" customWidth="1"/>
    <col min="45" max="46" width="2.85546875" style="80" customWidth="1"/>
    <col min="47" max="47" width="3.42578125" style="80" customWidth="1"/>
    <col min="48" max="53" width="2.85546875" style="80" customWidth="1"/>
    <col min="54" max="54" width="3.85546875" style="80" customWidth="1"/>
    <col min="55" max="57" width="2.85546875" style="80" customWidth="1"/>
    <col min="58" max="58" width="1.5703125" style="80" customWidth="1"/>
    <col min="59" max="59" width="7.28515625" style="80" customWidth="1"/>
    <col min="60" max="60" width="7.42578125" style="80" customWidth="1"/>
    <col min="61" max="61" width="7.28515625" style="80" customWidth="1"/>
    <col min="62" max="62" width="7.7109375" style="80" customWidth="1"/>
    <col min="63" max="63" width="7.42578125" style="80" customWidth="1"/>
    <col min="64" max="64" width="2" style="80" customWidth="1"/>
    <col min="65" max="65" width="7.5703125" style="80" customWidth="1"/>
    <col min="66" max="66" width="7.42578125" style="80" customWidth="1"/>
    <col min="67" max="67" width="5.7109375" style="80" customWidth="1"/>
    <col min="68" max="68" width="7.5703125" style="80" customWidth="1"/>
    <col min="69" max="70" width="5.5703125" style="80" customWidth="1"/>
    <col min="71" max="71" width="12.85546875" style="80" customWidth="1"/>
    <col min="72" max="73" width="5.42578125" style="390" customWidth="1"/>
    <col min="74" max="74" width="13.5703125" style="80" customWidth="1"/>
    <col min="75" max="75" width="48.85546875" style="80" customWidth="1"/>
    <col min="76" max="76" width="7" style="124" customWidth="1"/>
    <col min="77" max="77" width="16" style="124" customWidth="1"/>
    <col min="78" max="78" width="11.42578125" style="124"/>
    <col min="79" max="79" width="13" style="124" customWidth="1"/>
    <col min="80" max="80" width="29.85546875" style="641" customWidth="1"/>
    <col min="81" max="81" width="24.85546875" style="393" customWidth="1"/>
    <col min="82" max="82" width="11.42578125" style="352"/>
    <col min="83" max="16384" width="11.42578125" style="80"/>
  </cols>
  <sheetData>
    <row r="1" spans="1:85" ht="17.25" customHeight="1" thickBot="1" x14ac:dyDescent="0.3">
      <c r="A1" s="269"/>
      <c r="B1" s="270" t="s">
        <v>234</v>
      </c>
      <c r="C1" s="1350" t="str">
        <f>'DüV-N-Ackerbau (1)'!C1</f>
        <v>Testbetrieb</v>
      </c>
      <c r="D1" s="1351"/>
      <c r="E1" s="448"/>
      <c r="F1" s="485" t="s">
        <v>235</v>
      </c>
      <c r="G1" s="372">
        <v>2022</v>
      </c>
      <c r="H1" s="448"/>
      <c r="I1" s="1352" t="s">
        <v>34</v>
      </c>
      <c r="J1" s="1353"/>
      <c r="K1" s="448"/>
      <c r="L1" s="1291" t="s">
        <v>1075</v>
      </c>
      <c r="M1" s="1292"/>
      <c r="N1" s="1292"/>
      <c r="O1" s="1292"/>
      <c r="P1" s="1292"/>
      <c r="Q1" s="448"/>
      <c r="R1" s="477"/>
      <c r="S1" s="477"/>
      <c r="T1" s="448"/>
      <c r="BH1" s="400"/>
      <c r="BI1" s="400"/>
      <c r="BJ1" s="400"/>
      <c r="BK1" s="400"/>
      <c r="BL1" s="400"/>
      <c r="BM1" s="400"/>
      <c r="BN1" s="400"/>
      <c r="BO1" s="400"/>
      <c r="BP1" s="400"/>
      <c r="BQ1" s="400"/>
      <c r="BW1" s="519" t="s">
        <v>237</v>
      </c>
      <c r="BX1" s="519" t="s">
        <v>33</v>
      </c>
      <c r="BY1" s="519" t="s">
        <v>226</v>
      </c>
      <c r="BZ1" s="60" t="s">
        <v>227</v>
      </c>
      <c r="CA1" s="60" t="s">
        <v>228</v>
      </c>
      <c r="CB1" s="517" t="s">
        <v>329</v>
      </c>
      <c r="CC1" s="393" t="s">
        <v>768</v>
      </c>
      <c r="CD1" s="640" t="s">
        <v>771</v>
      </c>
    </row>
    <row r="2" spans="1:85" ht="19.5" customHeight="1" thickBot="1" x14ac:dyDescent="0.3">
      <c r="A2" s="271"/>
      <c r="B2" s="41" t="s">
        <v>236</v>
      </c>
      <c r="C2" s="1350">
        <f>'DüV-N-Ackerbau (1)'!C2</f>
        <v>1</v>
      </c>
      <c r="D2" s="1351"/>
      <c r="E2" s="1359" t="s">
        <v>1072</v>
      </c>
      <c r="F2" s="1360"/>
      <c r="G2" s="1360"/>
      <c r="I2" s="1356" t="s">
        <v>36</v>
      </c>
      <c r="J2" s="1336"/>
      <c r="L2" s="1293"/>
      <c r="M2" s="1293"/>
      <c r="N2" s="1293"/>
      <c r="O2" s="1293"/>
      <c r="P2" s="1293"/>
      <c r="Q2" s="80"/>
      <c r="R2" s="474"/>
      <c r="S2" s="474"/>
      <c r="BG2" s="1286" t="s">
        <v>1169</v>
      </c>
      <c r="BH2" s="1286"/>
      <c r="BI2" s="1286"/>
      <c r="BJ2" s="1286"/>
      <c r="BK2" s="1286"/>
      <c r="BL2" s="1286"/>
      <c r="BM2" s="1286"/>
      <c r="BN2" s="1286"/>
      <c r="BO2" s="1286"/>
      <c r="BP2" s="1286"/>
      <c r="BQ2" s="1286"/>
      <c r="BW2" s="129" t="s">
        <v>774</v>
      </c>
      <c r="BX2" s="519"/>
      <c r="BY2" s="519"/>
      <c r="BZ2" s="60"/>
      <c r="CA2" s="60"/>
    </row>
    <row r="3" spans="1:85" ht="15" customHeight="1" thickBot="1" x14ac:dyDescent="0.3">
      <c r="A3" s="271"/>
      <c r="B3" s="41" t="s">
        <v>251</v>
      </c>
      <c r="C3" s="1350">
        <f>'DüV-N-Ackerbau (1)'!C3</f>
        <v>123456</v>
      </c>
      <c r="D3" s="1351"/>
      <c r="E3" s="1361"/>
      <c r="F3" s="1362"/>
      <c r="G3" s="1362"/>
      <c r="J3" s="400"/>
      <c r="K3" s="657"/>
      <c r="L3" s="1294"/>
      <c r="M3" s="1294"/>
      <c r="N3" s="1294"/>
      <c r="O3" s="1294"/>
      <c r="P3" s="1294"/>
      <c r="Q3" s="80"/>
      <c r="R3" s="474"/>
      <c r="S3" s="474"/>
      <c r="AE3" s="15"/>
      <c r="AF3" s="400"/>
      <c r="AG3" s="400"/>
      <c r="AH3" s="400"/>
      <c r="AI3" s="400"/>
      <c r="AJ3" s="400"/>
      <c r="AK3" s="400"/>
      <c r="AL3" s="400"/>
      <c r="AM3" s="400"/>
      <c r="AN3" s="400"/>
      <c r="AP3" s="400"/>
      <c r="AQ3" s="400"/>
      <c r="AR3" s="400"/>
      <c r="AS3" s="400"/>
      <c r="AT3" s="400"/>
      <c r="AU3" s="400"/>
      <c r="AV3" s="400"/>
      <c r="AW3" s="400"/>
      <c r="AX3" s="400"/>
      <c r="AY3" s="400"/>
      <c r="AZ3" s="400"/>
      <c r="BA3" s="400"/>
      <c r="BB3" s="400"/>
      <c r="BC3" s="400"/>
      <c r="BD3" s="400"/>
      <c r="BE3" s="400"/>
      <c r="BF3" s="400"/>
      <c r="BG3" s="1286"/>
      <c r="BH3" s="1286"/>
      <c r="BI3" s="1286"/>
      <c r="BJ3" s="1286"/>
      <c r="BK3" s="1286"/>
      <c r="BL3" s="1286"/>
      <c r="BM3" s="1286"/>
      <c r="BN3" s="1286"/>
      <c r="BO3" s="1286"/>
      <c r="BP3" s="1286"/>
      <c r="BQ3" s="1286"/>
      <c r="BW3" s="123" t="s">
        <v>31</v>
      </c>
      <c r="BX3" s="123">
        <v>0</v>
      </c>
      <c r="BY3" s="123">
        <v>0</v>
      </c>
      <c r="BZ3" s="124">
        <v>0</v>
      </c>
      <c r="CA3" s="124">
        <v>0</v>
      </c>
      <c r="CB3" s="641">
        <v>0</v>
      </c>
      <c r="CC3" s="393">
        <v>0</v>
      </c>
      <c r="CD3" s="352">
        <f>BX3*CC3</f>
        <v>0</v>
      </c>
    </row>
    <row r="4" spans="1:85" ht="35.25" customHeight="1" x14ac:dyDescent="0.25">
      <c r="A4" s="1305" t="s">
        <v>1100</v>
      </c>
      <c r="B4" s="1306"/>
      <c r="C4" s="1306"/>
      <c r="D4" s="1306"/>
      <c r="E4" s="1306"/>
      <c r="F4" s="1306"/>
      <c r="G4" s="1306"/>
      <c r="H4" s="1306"/>
      <c r="I4" s="1306"/>
      <c r="J4" s="1306"/>
      <c r="K4" s="1306"/>
      <c r="L4" s="1306"/>
      <c r="M4" s="1306"/>
      <c r="N4" s="1306"/>
      <c r="O4" s="1306"/>
      <c r="P4" s="1306"/>
      <c r="Q4" s="1306"/>
      <c r="R4" s="1306"/>
      <c r="S4" s="1306"/>
      <c r="T4" s="1307"/>
      <c r="V4" s="1280" t="s">
        <v>1164</v>
      </c>
      <c r="W4" s="1281"/>
      <c r="X4" s="1281"/>
      <c r="Y4" s="1281"/>
      <c r="Z4" s="1281"/>
      <c r="AA4" s="1281"/>
      <c r="AB4" s="1281"/>
      <c r="AC4" s="1281"/>
      <c r="AD4" s="1281"/>
      <c r="AE4" s="1281"/>
      <c r="AF4" s="1281"/>
      <c r="AG4" s="1281"/>
      <c r="AH4" s="1281"/>
      <c r="AI4" s="1281"/>
      <c r="AJ4" s="1281"/>
      <c r="AK4" s="1281"/>
      <c r="AL4" s="1281"/>
      <c r="AM4" s="1281"/>
      <c r="AN4" s="1281"/>
      <c r="AO4" s="1281"/>
      <c r="AP4" s="1281"/>
      <c r="AQ4" s="1281"/>
      <c r="AR4" s="1281"/>
      <c r="AS4" s="1281"/>
      <c r="AT4" s="1281"/>
      <c r="AU4" s="1281"/>
      <c r="AV4" s="1281"/>
      <c r="AW4" s="1281"/>
      <c r="AX4" s="1281"/>
      <c r="AY4" s="1281"/>
      <c r="AZ4" s="1281"/>
      <c r="BA4" s="1281"/>
      <c r="BB4" s="1281"/>
      <c r="BC4" s="1281"/>
      <c r="BD4" s="1281"/>
      <c r="BE4" s="1281"/>
      <c r="BG4" s="1286"/>
      <c r="BH4" s="1286"/>
      <c r="BI4" s="1286"/>
      <c r="BJ4" s="1286"/>
      <c r="BK4" s="1286"/>
      <c r="BL4" s="1286"/>
      <c r="BM4" s="1286"/>
      <c r="BN4" s="1286"/>
      <c r="BO4" s="1286"/>
      <c r="BP4" s="1286"/>
      <c r="BQ4" s="1286"/>
      <c r="BW4" s="240" t="s">
        <v>244</v>
      </c>
      <c r="BX4" s="240">
        <v>20</v>
      </c>
      <c r="BY4" s="240">
        <v>80</v>
      </c>
      <c r="BZ4" s="240">
        <v>1</v>
      </c>
      <c r="CA4" s="240">
        <v>1.5</v>
      </c>
      <c r="CB4" s="641">
        <v>60</v>
      </c>
      <c r="CC4" s="393">
        <v>2</v>
      </c>
      <c r="CD4" s="352">
        <f t="shared" ref="CD4:CD61" si="0">BX4*CC4</f>
        <v>40</v>
      </c>
    </row>
    <row r="5" spans="1:85" ht="17.25" customHeight="1" thickBot="1" x14ac:dyDescent="0.3">
      <c r="A5" s="1308" t="s">
        <v>1165</v>
      </c>
      <c r="B5" s="1294"/>
      <c r="C5" s="1294"/>
      <c r="D5" s="1294"/>
      <c r="E5" s="1294"/>
      <c r="F5" s="1294"/>
      <c r="G5" s="1294"/>
      <c r="H5" s="1294"/>
      <c r="I5" s="1294"/>
      <c r="J5" s="1294"/>
      <c r="K5" s="1294"/>
      <c r="L5" s="1293"/>
      <c r="M5" s="1293"/>
      <c r="N5" s="1294"/>
      <c r="O5" s="1294"/>
      <c r="P5" s="1294"/>
      <c r="Q5" s="1294"/>
      <c r="R5" s="1294"/>
      <c r="S5" s="1294"/>
      <c r="T5" s="1309"/>
      <c r="V5" s="1288" t="s">
        <v>1033</v>
      </c>
      <c r="W5" s="1286"/>
      <c r="X5" s="1286"/>
      <c r="Y5" s="1286"/>
      <c r="Z5" s="1286"/>
      <c r="AA5" s="1286"/>
      <c r="AB5" s="1286"/>
      <c r="AC5" s="1286"/>
      <c r="AD5" s="1286"/>
      <c r="AE5" s="1286"/>
      <c r="AF5" s="1286"/>
      <c r="AG5" s="1286"/>
      <c r="AH5" s="1286"/>
      <c r="AI5" s="1286"/>
      <c r="AJ5" s="1286"/>
      <c r="AK5" s="1286"/>
      <c r="AL5" s="1286"/>
      <c r="AM5" s="1286"/>
      <c r="AN5" s="1286"/>
      <c r="AO5" s="1286"/>
      <c r="AP5" s="1286"/>
      <c r="AQ5" s="1286"/>
      <c r="AR5" s="1286"/>
      <c r="AS5" s="1286"/>
      <c r="AT5" s="1286"/>
      <c r="AU5" s="1286"/>
      <c r="AV5" s="1286"/>
      <c r="AW5" s="1286"/>
      <c r="AX5" s="1286"/>
      <c r="AY5" s="1286"/>
      <c r="AZ5" s="1286"/>
      <c r="BA5" s="1286"/>
      <c r="BB5" s="1286"/>
      <c r="BC5" s="1286"/>
      <c r="BD5" s="1286"/>
      <c r="BE5" s="1286"/>
      <c r="BG5" s="1289" t="s">
        <v>1081</v>
      </c>
      <c r="BH5" s="1289"/>
      <c r="BI5" s="1289"/>
      <c r="BJ5" s="1289"/>
      <c r="BK5" s="1289"/>
      <c r="BL5" s="393"/>
      <c r="BM5" s="1277" t="s">
        <v>1092</v>
      </c>
      <c r="BN5" s="1278"/>
      <c r="BO5" s="1278"/>
      <c r="BP5" s="1278"/>
      <c r="BQ5" s="1278"/>
      <c r="BR5" s="776"/>
      <c r="BW5" s="580" t="s">
        <v>604</v>
      </c>
      <c r="BX5" s="580">
        <v>120</v>
      </c>
      <c r="BY5" s="580">
        <v>200</v>
      </c>
      <c r="BZ5" s="580">
        <v>0.5</v>
      </c>
      <c r="CA5" s="580">
        <v>0.75</v>
      </c>
      <c r="CB5" s="641">
        <v>90</v>
      </c>
      <c r="CC5" s="393">
        <v>0.5</v>
      </c>
      <c r="CD5" s="352">
        <f t="shared" si="0"/>
        <v>60</v>
      </c>
    </row>
    <row r="6" spans="1:85" ht="35.25" customHeight="1" x14ac:dyDescent="0.25">
      <c r="A6" s="1363" t="s">
        <v>1091</v>
      </c>
      <c r="B6" s="1365" t="s">
        <v>570</v>
      </c>
      <c r="C6" s="1303" t="s">
        <v>306</v>
      </c>
      <c r="D6" s="1366" t="s">
        <v>301</v>
      </c>
      <c r="E6" s="1367"/>
      <c r="F6" s="1368" t="s">
        <v>302</v>
      </c>
      <c r="G6" s="1369"/>
      <c r="H6" s="1295" t="s">
        <v>6</v>
      </c>
      <c r="I6" s="1282" t="s">
        <v>163</v>
      </c>
      <c r="J6" s="1295" t="s">
        <v>8</v>
      </c>
      <c r="K6" s="1297" t="s">
        <v>163</v>
      </c>
      <c r="L6" s="1299" t="s">
        <v>541</v>
      </c>
      <c r="M6" s="1301" t="s">
        <v>229</v>
      </c>
      <c r="N6" s="1303" t="s">
        <v>262</v>
      </c>
      <c r="O6" s="1282" t="s">
        <v>163</v>
      </c>
      <c r="P6" s="1284" t="s">
        <v>1071</v>
      </c>
      <c r="Q6" s="1316" t="s">
        <v>1028</v>
      </c>
      <c r="R6" s="1317"/>
      <c r="S6" s="1314" t="s">
        <v>1150</v>
      </c>
      <c r="T6" s="1315"/>
      <c r="V6" s="1318" t="s">
        <v>1152</v>
      </c>
      <c r="W6" s="1287" t="s">
        <v>631</v>
      </c>
      <c r="X6" s="1312" t="s">
        <v>1102</v>
      </c>
      <c r="Y6" s="1313"/>
      <c r="Z6" s="1313"/>
      <c r="AA6" s="1313"/>
      <c r="AB6" s="1313"/>
      <c r="AC6" s="1313"/>
      <c r="AE6" s="1312" t="s">
        <v>851</v>
      </c>
      <c r="AF6" s="1313"/>
      <c r="AG6" s="1313"/>
      <c r="AH6" s="1313"/>
      <c r="AI6" s="1313"/>
      <c r="AJ6" s="1313"/>
      <c r="AL6" s="1312" t="s">
        <v>852</v>
      </c>
      <c r="AM6" s="1313"/>
      <c r="AN6" s="1313"/>
      <c r="AO6" s="1313"/>
      <c r="AP6" s="1313"/>
      <c r="AQ6" s="1313"/>
      <c r="AR6" s="112"/>
      <c r="AS6" s="1312" t="s">
        <v>853</v>
      </c>
      <c r="AT6" s="1313"/>
      <c r="AU6" s="1313"/>
      <c r="AV6" s="1313"/>
      <c r="AW6" s="1313"/>
      <c r="AX6" s="1313"/>
      <c r="AY6" s="21"/>
      <c r="AZ6" s="1312" t="s">
        <v>854</v>
      </c>
      <c r="BA6" s="1313"/>
      <c r="BB6" s="1313"/>
      <c r="BC6" s="1313"/>
      <c r="BD6" s="1313"/>
      <c r="BE6" s="1313"/>
      <c r="BG6" s="1290"/>
      <c r="BH6" s="1290"/>
      <c r="BI6" s="1290"/>
      <c r="BJ6" s="1290"/>
      <c r="BK6" s="1290"/>
      <c r="BL6" s="393"/>
      <c r="BM6" s="1279"/>
      <c r="BN6" s="1279"/>
      <c r="BO6" s="1279"/>
      <c r="BP6" s="1279"/>
      <c r="BQ6" s="1279"/>
      <c r="BR6" s="776"/>
      <c r="BW6" s="580" t="s">
        <v>759</v>
      </c>
      <c r="BX6" s="580">
        <v>60</v>
      </c>
      <c r="BY6" s="580">
        <v>200</v>
      </c>
      <c r="BZ6" s="580">
        <v>1</v>
      </c>
      <c r="CA6" s="580">
        <v>1.5</v>
      </c>
      <c r="CB6" s="641">
        <v>90</v>
      </c>
      <c r="CC6" s="393">
        <v>0.8</v>
      </c>
      <c r="CD6" s="352">
        <f t="shared" si="0"/>
        <v>48</v>
      </c>
    </row>
    <row r="7" spans="1:85" ht="66" customHeight="1" thickBot="1" x14ac:dyDescent="0.3">
      <c r="A7" s="1364"/>
      <c r="B7" s="1365"/>
      <c r="C7" s="1303"/>
      <c r="D7" s="404" t="s">
        <v>33</v>
      </c>
      <c r="E7" s="405" t="s">
        <v>303</v>
      </c>
      <c r="F7" s="658" t="s">
        <v>603</v>
      </c>
      <c r="G7" s="405" t="s">
        <v>304</v>
      </c>
      <c r="H7" s="1296"/>
      <c r="I7" s="1283"/>
      <c r="J7" s="1296"/>
      <c r="K7" s="1298"/>
      <c r="L7" s="1300"/>
      <c r="M7" s="1302"/>
      <c r="N7" s="1304"/>
      <c r="O7" s="1283"/>
      <c r="P7" s="1285"/>
      <c r="Q7" s="501" t="s">
        <v>328</v>
      </c>
      <c r="R7" s="483" t="s">
        <v>803</v>
      </c>
      <c r="S7" s="484" t="s">
        <v>605</v>
      </c>
      <c r="T7" s="483" t="s">
        <v>804</v>
      </c>
      <c r="U7" s="124"/>
      <c r="V7" s="1319"/>
      <c r="W7" s="1281"/>
      <c r="X7" s="745" t="s">
        <v>850</v>
      </c>
      <c r="Y7" s="744" t="s">
        <v>830</v>
      </c>
      <c r="Z7" s="681" t="s">
        <v>33</v>
      </c>
      <c r="AA7" s="312" t="s">
        <v>1078</v>
      </c>
      <c r="AB7" s="681" t="s">
        <v>1079</v>
      </c>
      <c r="AC7" s="312" t="s">
        <v>1080</v>
      </c>
      <c r="AE7" s="745" t="s">
        <v>850</v>
      </c>
      <c r="AF7" s="744" t="s">
        <v>830</v>
      </c>
      <c r="AG7" s="681" t="s">
        <v>33</v>
      </c>
      <c r="AH7" s="312" t="s">
        <v>1078</v>
      </c>
      <c r="AI7" s="681" t="s">
        <v>1079</v>
      </c>
      <c r="AJ7" s="312" t="s">
        <v>1080</v>
      </c>
      <c r="AK7" s="124"/>
      <c r="AL7" s="745" t="s">
        <v>850</v>
      </c>
      <c r="AM7" s="744" t="s">
        <v>830</v>
      </c>
      <c r="AN7" s="681" t="s">
        <v>33</v>
      </c>
      <c r="AO7" s="312" t="s">
        <v>1078</v>
      </c>
      <c r="AP7" s="681" t="s">
        <v>1079</v>
      </c>
      <c r="AQ7" s="312" t="s">
        <v>1080</v>
      </c>
      <c r="AR7" s="124"/>
      <c r="AS7" s="745" t="s">
        <v>850</v>
      </c>
      <c r="AT7" s="744" t="s">
        <v>830</v>
      </c>
      <c r="AU7" s="681" t="s">
        <v>33</v>
      </c>
      <c r="AV7" s="312" t="s">
        <v>1078</v>
      </c>
      <c r="AW7" s="681" t="s">
        <v>1079</v>
      </c>
      <c r="AX7" s="312" t="s">
        <v>1080</v>
      </c>
      <c r="AY7" s="124"/>
      <c r="AZ7" s="745" t="s">
        <v>850</v>
      </c>
      <c r="BA7" s="744" t="s">
        <v>830</v>
      </c>
      <c r="BB7" s="681" t="s">
        <v>33</v>
      </c>
      <c r="BC7" s="312" t="s">
        <v>1078</v>
      </c>
      <c r="BD7" s="681" t="s">
        <v>1079</v>
      </c>
      <c r="BE7" s="312" t="s">
        <v>1080</v>
      </c>
      <c r="BF7" s="60"/>
      <c r="BG7" s="775" t="s">
        <v>1096</v>
      </c>
      <c r="BH7" s="312" t="s">
        <v>1082</v>
      </c>
      <c r="BI7" s="312" t="s">
        <v>1083</v>
      </c>
      <c r="BJ7" s="699" t="s">
        <v>1268</v>
      </c>
      <c r="BK7" s="312" t="s">
        <v>290</v>
      </c>
      <c r="BL7" s="519"/>
      <c r="BM7" s="780" t="s">
        <v>1096</v>
      </c>
      <c r="BN7" s="312" t="s">
        <v>1082</v>
      </c>
      <c r="BO7" s="781" t="s">
        <v>1098</v>
      </c>
      <c r="BP7" s="699" t="s">
        <v>1268</v>
      </c>
      <c r="BQ7" s="312" t="s">
        <v>290</v>
      </c>
      <c r="BR7" s="519"/>
      <c r="BS7" s="124"/>
      <c r="BT7" s="392" t="s">
        <v>231</v>
      </c>
      <c r="BU7" s="392" t="s">
        <v>232</v>
      </c>
      <c r="BW7" s="393" t="s">
        <v>549</v>
      </c>
      <c r="BX7" s="393">
        <v>55</v>
      </c>
      <c r="BY7" s="393">
        <v>200</v>
      </c>
      <c r="BZ7" s="393">
        <v>1</v>
      </c>
      <c r="CA7" s="393">
        <v>1.5</v>
      </c>
      <c r="CB7" s="641">
        <v>60</v>
      </c>
      <c r="CC7" s="393">
        <v>0.8</v>
      </c>
      <c r="CD7" s="352">
        <f t="shared" si="0"/>
        <v>44</v>
      </c>
      <c r="CE7" s="9"/>
      <c r="CF7" s="32"/>
    </row>
    <row r="8" spans="1:85" s="124" customFormat="1" ht="26.25" customHeight="1" x14ac:dyDescent="0.25">
      <c r="A8" s="379"/>
      <c r="B8" s="1214"/>
      <c r="C8" s="599" t="s">
        <v>31</v>
      </c>
      <c r="D8" s="406">
        <f t="shared" ref="D8:D30" si="1">VLOOKUP(C8,BW$3:CA$61,2,FALSE)</f>
        <v>0</v>
      </c>
      <c r="E8" s="426">
        <f t="shared" ref="E8:E31" si="2">VLOOKUP(C8,BW$3:CA$61,3,FALSE)</f>
        <v>0</v>
      </c>
      <c r="F8" s="1205"/>
      <c r="G8" s="412">
        <f t="shared" ref="G8:G31" si="3">IF(F8&lt;=D8,E8-(D8-F8)*BU8,E8+(F8-D8)*BT8)</f>
        <v>0</v>
      </c>
      <c r="H8" s="604" t="s">
        <v>510</v>
      </c>
      <c r="I8" s="426">
        <f t="shared" ref="I8:I31" si="4">VLOOKUP(H8,BW$65:BX$75,2,FALSE)</f>
        <v>0</v>
      </c>
      <c r="J8" s="429" t="s">
        <v>31</v>
      </c>
      <c r="K8" s="605">
        <f t="shared" ref="K8:K31" si="5">VLOOKUP(J8,BW$78:BX$87,2,FALSE)</f>
        <v>0</v>
      </c>
      <c r="L8" s="406">
        <f t="shared" ref="L8:L31" si="6">VLOOKUP(C8,BW$3:CB$61,6,FALSE)</f>
        <v>0</v>
      </c>
      <c r="M8" s="1208"/>
      <c r="N8" s="453" t="s">
        <v>160</v>
      </c>
      <c r="O8" s="426">
        <f t="shared" ref="O8:O31" si="7">VLOOKUP(N8,BW$90:BX$91,2,FALSE)</f>
        <v>0</v>
      </c>
      <c r="P8" s="1211"/>
      <c r="Q8" s="748">
        <f>IF(G8-M8-P8-O8-I8-K8&lt;0,0,G8-M8-P8-O8-I8-K8)</f>
        <v>0</v>
      </c>
      <c r="R8" s="749">
        <f t="shared" ref="R8:R31" si="8">IF(Q8&lt;0,0,Q8*B8)</f>
        <v>0</v>
      </c>
      <c r="S8" s="750">
        <f t="shared" ref="S8:S30" si="9">F8*VLOOKUP(C8,BW$3:CC$61,7,FALSE)</f>
        <v>0</v>
      </c>
      <c r="T8" s="434">
        <f>IF(S8&lt;0,0,S8*B8)</f>
        <v>0</v>
      </c>
      <c r="U8" s="80"/>
      <c r="V8" s="852">
        <f>A8</f>
        <v>0</v>
      </c>
      <c r="W8" s="852" t="str">
        <f>C8</f>
        <v>keine</v>
      </c>
      <c r="X8" s="886"/>
      <c r="Y8" s="887" t="s">
        <v>805</v>
      </c>
      <c r="Z8" s="906">
        <v>1</v>
      </c>
      <c r="AA8" s="687">
        <f>VLOOKUP(Y8,Düngemittel!$B$6:$E$64,2,FALSE)*(VLOOKUP(Y8,Düngemittel!$B$6:$E$64,3,FALSE))/100*Z8</f>
        <v>0</v>
      </c>
      <c r="AB8" s="687">
        <f>VLOOKUP(Y8,Düngemittel!$B$6:$E$64,2,FALSE)*Z8</f>
        <v>0</v>
      </c>
      <c r="AC8" s="687">
        <f>VLOOKUP(Y8,Düngemittel!$B$6:$E$64,4,FALSE)*Z8</f>
        <v>0</v>
      </c>
      <c r="AD8" s="80"/>
      <c r="AE8" s="886"/>
      <c r="AF8" s="887" t="s">
        <v>805</v>
      </c>
      <c r="AG8" s="906">
        <v>0</v>
      </c>
      <c r="AH8" s="687">
        <f>VLOOKUP(AF8,Düngemittel!$B$6:$E$64,2,FALSE)*(VLOOKUP(AF8,Düngemittel!$B$6:$E$64,3,FALSE))/100*AG8</f>
        <v>0</v>
      </c>
      <c r="AI8" s="687">
        <f>VLOOKUP(AF8,Düngemittel!$B$6:$E$64,2,FALSE)*AG8</f>
        <v>0</v>
      </c>
      <c r="AJ8" s="687">
        <f>VLOOKUP(AF8,Düngemittel!$B$6:$E$64,4,FALSE)*AG8</f>
        <v>0</v>
      </c>
      <c r="AK8" s="80"/>
      <c r="AL8" s="886"/>
      <c r="AM8" s="887" t="s">
        <v>805</v>
      </c>
      <c r="AN8" s="906">
        <v>0</v>
      </c>
      <c r="AO8" s="687">
        <f>VLOOKUP(AM8,Düngemittel!$B$6:$E$64,2,FALSE)*(VLOOKUP(AM8,Düngemittel!$B$6:$E$64,3,FALSE))/100*AN8</f>
        <v>0</v>
      </c>
      <c r="AP8" s="687">
        <f>VLOOKUP(AM8,Düngemittel!$B$6:$E$64,2,FALSE)*AN8</f>
        <v>0</v>
      </c>
      <c r="AQ8" s="687">
        <f>VLOOKUP(AM8,Düngemittel!$B$6:$E$64,4,FALSE)*AN8</f>
        <v>0</v>
      </c>
      <c r="AR8" s="80"/>
      <c r="AS8" s="886"/>
      <c r="AT8" s="887" t="s">
        <v>805</v>
      </c>
      <c r="AU8" s="906">
        <v>0</v>
      </c>
      <c r="AV8" s="687">
        <f>VLOOKUP(AT8,Düngemittel!$B$6:$E$64,2,FALSE)*(VLOOKUP(AT8,Düngemittel!$B$6:$E$64,3,FALSE))/100*AU8</f>
        <v>0</v>
      </c>
      <c r="AW8" s="687">
        <f>VLOOKUP(AT8,Düngemittel!$B$6:$E$64,2,FALSE)*AU8</f>
        <v>0</v>
      </c>
      <c r="AX8" s="687">
        <f>VLOOKUP(AT8,Düngemittel!$B$6:$E$64,4,FALSE)*AU8</f>
        <v>0</v>
      </c>
      <c r="AY8" s="80"/>
      <c r="AZ8" s="886"/>
      <c r="BA8" s="887" t="s">
        <v>805</v>
      </c>
      <c r="BB8" s="906">
        <v>0</v>
      </c>
      <c r="BC8" s="687">
        <f>VLOOKUP(BA8,Düngemittel!$B$6:$E$64,2,FALSE)*(VLOOKUP(BA8,Düngemittel!$B$6:$E$64,3,FALSE))/100*BB8</f>
        <v>0</v>
      </c>
      <c r="BD8" s="687">
        <f>VLOOKUP(BA8,Düngemittel!$B$6:$E$64,2,FALSE)*BB8</f>
        <v>0</v>
      </c>
      <c r="BE8" s="687">
        <f>VLOOKUP(BA8,Düngemittel!$B$6:$E$64,4,FALSE)*BB8</f>
        <v>0</v>
      </c>
      <c r="BF8" s="80"/>
      <c r="BG8" s="853">
        <f>IF(AA8&lt;AB8,0,AA8)+IF(AH8&lt;AI8,0,AH8)+IF(AO8&lt;AP8,0,AO8)+IF(AV8&lt;AW8,0,AV8)+IF(BC8&lt;BD8,0,BC8)</f>
        <v>0</v>
      </c>
      <c r="BH8" s="308">
        <f>(AA8+AH8+AO8+AV8+BC8)</f>
        <v>0</v>
      </c>
      <c r="BI8" s="853">
        <f>(AB8+AI8+AP8+AW8+BD8)</f>
        <v>0</v>
      </c>
      <c r="BJ8" s="777">
        <f>IF(AA8&lt;AB8,AB8,0)+IF(AH8&lt;AI8,AI8,0)+IF(AO8&lt;AP8,AP8,0)+IF(AV8&lt;AW8,AW8,0)+IF(BC8&lt;BD8,BD8,0)</f>
        <v>0</v>
      </c>
      <c r="BK8" s="308">
        <f>(AC8+AJ8+AQ8+AX8+BE8)</f>
        <v>0</v>
      </c>
      <c r="BL8" s="83"/>
      <c r="BM8" s="686">
        <f>BG8*$B8</f>
        <v>0</v>
      </c>
      <c r="BN8" s="686">
        <f t="shared" ref="BN8:BQ23" si="10">BH8*$B8</f>
        <v>0</v>
      </c>
      <c r="BO8" s="686">
        <f t="shared" si="10"/>
        <v>0</v>
      </c>
      <c r="BP8" s="686">
        <f t="shared" si="10"/>
        <v>0</v>
      </c>
      <c r="BQ8" s="686">
        <f t="shared" si="10"/>
        <v>0</v>
      </c>
      <c r="BR8" s="80"/>
      <c r="BS8" s="80"/>
      <c r="BT8" s="351">
        <f t="shared" ref="BT8:BT31" si="11">VLOOKUP(C8,BW$3:CB$61,4,FALSE)</f>
        <v>0</v>
      </c>
      <c r="BU8" s="351">
        <f t="shared" ref="BU8:BU31" si="12">VLOOKUP(C8,BW$3:CB$61,5,FALSE)</f>
        <v>0</v>
      </c>
      <c r="BV8" s="123"/>
      <c r="BW8" s="240" t="s">
        <v>760</v>
      </c>
      <c r="BX8" s="240">
        <v>40</v>
      </c>
      <c r="BY8" s="597">
        <v>115</v>
      </c>
      <c r="BZ8" s="240">
        <v>1</v>
      </c>
      <c r="CA8" s="240">
        <v>1.5</v>
      </c>
      <c r="CB8" s="641">
        <v>90</v>
      </c>
      <c r="CC8" s="393">
        <v>0.8</v>
      </c>
      <c r="CD8" s="352">
        <f t="shared" si="0"/>
        <v>32</v>
      </c>
      <c r="CE8" s="32"/>
      <c r="CF8" s="3"/>
      <c r="CG8" s="80"/>
    </row>
    <row r="9" spans="1:85" ht="26.25" customHeight="1" x14ac:dyDescent="0.25">
      <c r="A9" s="342"/>
      <c r="B9" s="1215"/>
      <c r="C9" s="600" t="s">
        <v>31</v>
      </c>
      <c r="D9" s="408">
        <f t="shared" si="1"/>
        <v>0</v>
      </c>
      <c r="E9" s="427">
        <f t="shared" si="2"/>
        <v>0</v>
      </c>
      <c r="F9" s="1206"/>
      <c r="G9" s="413">
        <f t="shared" si="3"/>
        <v>0</v>
      </c>
      <c r="H9" s="602" t="s">
        <v>510</v>
      </c>
      <c r="I9" s="427">
        <f t="shared" si="4"/>
        <v>0</v>
      </c>
      <c r="J9" s="430" t="s">
        <v>31</v>
      </c>
      <c r="K9" s="606">
        <f t="shared" si="5"/>
        <v>0</v>
      </c>
      <c r="L9" s="408">
        <f t="shared" si="6"/>
        <v>0</v>
      </c>
      <c r="M9" s="1209"/>
      <c r="N9" s="450" t="s">
        <v>160</v>
      </c>
      <c r="O9" s="427">
        <f t="shared" si="7"/>
        <v>0</v>
      </c>
      <c r="P9" s="1212"/>
      <c r="Q9" s="747">
        <f t="shared" ref="Q9:Q31" si="13">IF(G9-M9-P9-O9-I9-K9&lt;0,0,G9-M9-P9-O9-I9-K9)</f>
        <v>0</v>
      </c>
      <c r="R9" s="608">
        <f t="shared" si="8"/>
        <v>0</v>
      </c>
      <c r="S9" s="479">
        <f t="shared" si="9"/>
        <v>0</v>
      </c>
      <c r="T9" s="435">
        <f t="shared" ref="T9:T31" si="14">IF(S9&lt;0,0,S9*B9)</f>
        <v>0</v>
      </c>
      <c r="V9" s="852">
        <f t="shared" ref="V9:V31" si="15">A9</f>
        <v>0</v>
      </c>
      <c r="W9" s="852" t="str">
        <f t="shared" ref="W9:W31" si="16">C9</f>
        <v>keine</v>
      </c>
      <c r="X9" s="886"/>
      <c r="Y9" s="887" t="s">
        <v>805</v>
      </c>
      <c r="Z9" s="906">
        <v>0</v>
      </c>
      <c r="AA9" s="687">
        <f>VLOOKUP(Y9,Düngemittel!$B$6:$E$64,2,FALSE)*(VLOOKUP(Y9,Düngemittel!$B$6:$E$64,3,FALSE))/100*Z9</f>
        <v>0</v>
      </c>
      <c r="AB9" s="687">
        <f>VLOOKUP(Y9,Düngemittel!$B$6:$E$64,2,FALSE)*Z9</f>
        <v>0</v>
      </c>
      <c r="AC9" s="687">
        <f>VLOOKUP(Y9,Düngemittel!$B$6:$E$64,4,FALSE)*Z9</f>
        <v>0</v>
      </c>
      <c r="AE9" s="886"/>
      <c r="AF9" s="887" t="s">
        <v>805</v>
      </c>
      <c r="AG9" s="906">
        <v>0</v>
      </c>
      <c r="AH9" s="687">
        <f>VLOOKUP(AF9,Düngemittel!$B$6:$E$64,2,FALSE)*(VLOOKUP(AF9,Düngemittel!$B$6:$E$64,3,FALSE))/100*AG9</f>
        <v>0</v>
      </c>
      <c r="AI9" s="687">
        <f>VLOOKUP(AF9,Düngemittel!$B$6:$E$64,2,FALSE)*AG9</f>
        <v>0</v>
      </c>
      <c r="AJ9" s="687">
        <f>VLOOKUP(AF9,Düngemittel!$B$6:$E$64,4,FALSE)*AG9</f>
        <v>0</v>
      </c>
      <c r="AL9" s="886"/>
      <c r="AM9" s="887" t="s">
        <v>805</v>
      </c>
      <c r="AN9" s="906">
        <v>0</v>
      </c>
      <c r="AO9" s="687">
        <f>VLOOKUP(AM9,Düngemittel!$B$6:$E$64,2,FALSE)*(VLOOKUP(AM9,Düngemittel!$B$6:$E$64,3,FALSE))/100*AN9</f>
        <v>0</v>
      </c>
      <c r="AP9" s="687">
        <f>VLOOKUP(AM9,Düngemittel!$B$6:$E$64,2,FALSE)*AN9</f>
        <v>0</v>
      </c>
      <c r="AQ9" s="687">
        <f>VLOOKUP(AM9,Düngemittel!$B$6:$E$64,4,FALSE)*AN9</f>
        <v>0</v>
      </c>
      <c r="AS9" s="886"/>
      <c r="AT9" s="887" t="s">
        <v>805</v>
      </c>
      <c r="AU9" s="906">
        <v>0</v>
      </c>
      <c r="AV9" s="687">
        <f>VLOOKUP(AT9,Düngemittel!$B$6:$E$64,2,FALSE)*(VLOOKUP(AT9,Düngemittel!$B$6:$E$64,3,FALSE))/100*AU9</f>
        <v>0</v>
      </c>
      <c r="AW9" s="687">
        <f>VLOOKUP(AT9,Düngemittel!$B$6:$E$64,2,FALSE)*AU9</f>
        <v>0</v>
      </c>
      <c r="AX9" s="687">
        <f>VLOOKUP(AT9,Düngemittel!$B$6:$E$64,4,FALSE)*AU9</f>
        <v>0</v>
      </c>
      <c r="AZ9" s="886"/>
      <c r="BA9" s="887" t="s">
        <v>805</v>
      </c>
      <c r="BB9" s="906">
        <v>0</v>
      </c>
      <c r="BC9" s="687">
        <f>VLOOKUP(BA9,Düngemittel!$B$6:$E$64,2,FALSE)*(VLOOKUP(BA9,Düngemittel!$B$6:$E$64,3,FALSE))/100*BB9</f>
        <v>0</v>
      </c>
      <c r="BD9" s="687">
        <f>VLOOKUP(BA9,Düngemittel!$B$6:$E$64,2,FALSE)*BB9</f>
        <v>0</v>
      </c>
      <c r="BE9" s="687">
        <f>VLOOKUP(BA9,Düngemittel!$B$6:$E$64,4,FALSE)*BB9</f>
        <v>0</v>
      </c>
      <c r="BG9" s="853">
        <f t="shared" ref="BG9:BG31" si="17">IF(AA9&lt;AB9,0,AA9)+IF(AH9&lt;AI9,0,AH9)+IF(AO9&lt;AP9,0,AO9)+IF(AV9&lt;AW9,0,AV9)+IF(BC9&lt;BD9,0,BC9)</f>
        <v>0</v>
      </c>
      <c r="BH9" s="308">
        <f t="shared" ref="BH9:BI31" si="18">(AA9+AH9+AO9+AV9+BC9)</f>
        <v>0</v>
      </c>
      <c r="BI9" s="853">
        <f t="shared" si="18"/>
        <v>0</v>
      </c>
      <c r="BJ9" s="777">
        <f t="shared" ref="BJ9:BJ31" si="19">IF(AA9&lt;AB9,AB9,0)+IF(AH9&lt;AI9,AI9,0)+IF(AO9&lt;AP9,AP9,0)+IF(AV9&lt;AW9,AW9,0)+IF(BC9&lt;BD9,BD9,0)</f>
        <v>0</v>
      </c>
      <c r="BK9" s="308">
        <f t="shared" ref="BK9:BK31" si="20">(AC9+AJ9+AQ9+AX9+BE9)</f>
        <v>0</v>
      </c>
      <c r="BL9" s="83"/>
      <c r="BM9" s="686">
        <f t="shared" ref="BM9:BQ31" si="21">BG9*$B9</f>
        <v>0</v>
      </c>
      <c r="BN9" s="686">
        <f t="shared" si="10"/>
        <v>0</v>
      </c>
      <c r="BO9" s="686">
        <f t="shared" si="10"/>
        <v>0</v>
      </c>
      <c r="BP9" s="686">
        <f t="shared" si="10"/>
        <v>0</v>
      </c>
      <c r="BQ9" s="686">
        <f t="shared" si="10"/>
        <v>0</v>
      </c>
      <c r="BT9" s="351">
        <f t="shared" si="11"/>
        <v>0</v>
      </c>
      <c r="BU9" s="351">
        <f t="shared" si="12"/>
        <v>0</v>
      </c>
      <c r="BW9" s="580" t="s">
        <v>764</v>
      </c>
      <c r="BX9" s="580">
        <v>150</v>
      </c>
      <c r="BY9" s="580">
        <v>160</v>
      </c>
      <c r="BZ9" s="580">
        <v>0.2</v>
      </c>
      <c r="CA9" s="580">
        <v>0.3</v>
      </c>
      <c r="CB9" s="641">
        <v>60</v>
      </c>
      <c r="CC9" s="393">
        <v>0.32</v>
      </c>
      <c r="CD9" s="352">
        <f t="shared" si="0"/>
        <v>48</v>
      </c>
      <c r="CE9" s="9"/>
      <c r="CF9" s="3"/>
    </row>
    <row r="10" spans="1:85" ht="26.25" customHeight="1" x14ac:dyDescent="0.25">
      <c r="A10" s="342"/>
      <c r="B10" s="1215"/>
      <c r="C10" s="600" t="s">
        <v>31</v>
      </c>
      <c r="D10" s="408">
        <f t="shared" si="1"/>
        <v>0</v>
      </c>
      <c r="E10" s="427">
        <f t="shared" si="2"/>
        <v>0</v>
      </c>
      <c r="F10" s="1206"/>
      <c r="G10" s="413">
        <f t="shared" si="3"/>
        <v>0</v>
      </c>
      <c r="H10" s="602" t="s">
        <v>510</v>
      </c>
      <c r="I10" s="427">
        <f t="shared" si="4"/>
        <v>0</v>
      </c>
      <c r="J10" s="430" t="s">
        <v>31</v>
      </c>
      <c r="K10" s="606">
        <f t="shared" si="5"/>
        <v>0</v>
      </c>
      <c r="L10" s="408">
        <f t="shared" si="6"/>
        <v>0</v>
      </c>
      <c r="M10" s="1209"/>
      <c r="N10" s="450" t="s">
        <v>160</v>
      </c>
      <c r="O10" s="427">
        <f t="shared" si="7"/>
        <v>0</v>
      </c>
      <c r="P10" s="1212"/>
      <c r="Q10" s="747">
        <f t="shared" si="13"/>
        <v>0</v>
      </c>
      <c r="R10" s="608">
        <f t="shared" si="8"/>
        <v>0</v>
      </c>
      <c r="S10" s="479">
        <f t="shared" si="9"/>
        <v>0</v>
      </c>
      <c r="T10" s="435">
        <f t="shared" si="14"/>
        <v>0</v>
      </c>
      <c r="V10" s="852">
        <f t="shared" si="15"/>
        <v>0</v>
      </c>
      <c r="W10" s="852" t="str">
        <f t="shared" si="16"/>
        <v>keine</v>
      </c>
      <c r="X10" s="886"/>
      <c r="Y10" s="887" t="s">
        <v>805</v>
      </c>
      <c r="Z10" s="906">
        <v>0</v>
      </c>
      <c r="AA10" s="687">
        <f>VLOOKUP(Y10,Düngemittel!$B$6:$E$64,2,FALSE)*(VLOOKUP(Y10,Düngemittel!$B$6:$E$64,3,FALSE))/100*Z10</f>
        <v>0</v>
      </c>
      <c r="AB10" s="687">
        <f>VLOOKUP(Y10,Düngemittel!$B$6:$E$64,2,FALSE)*Z10</f>
        <v>0</v>
      </c>
      <c r="AC10" s="687">
        <f>VLOOKUP(Y10,Düngemittel!$B$6:$E$64,4,FALSE)*Z10</f>
        <v>0</v>
      </c>
      <c r="AE10" s="886"/>
      <c r="AF10" s="887" t="s">
        <v>805</v>
      </c>
      <c r="AG10" s="906">
        <v>0</v>
      </c>
      <c r="AH10" s="687">
        <f>VLOOKUP(AF10,Düngemittel!$B$6:$E$64,2,FALSE)*(VLOOKUP(AF10,Düngemittel!$B$6:$E$64,3,FALSE))/100*AG10</f>
        <v>0</v>
      </c>
      <c r="AI10" s="687">
        <f>VLOOKUP(AF10,Düngemittel!$B$6:$E$64,2,FALSE)*AG10</f>
        <v>0</v>
      </c>
      <c r="AJ10" s="687">
        <f>VLOOKUP(AF10,Düngemittel!$B$6:$E$64,4,FALSE)*AG10</f>
        <v>0</v>
      </c>
      <c r="AL10" s="886"/>
      <c r="AM10" s="887" t="s">
        <v>805</v>
      </c>
      <c r="AN10" s="906">
        <v>0</v>
      </c>
      <c r="AO10" s="687">
        <f>VLOOKUP(AM10,Düngemittel!$B$6:$E$64,2,FALSE)*(VLOOKUP(AM10,Düngemittel!$B$6:$E$64,3,FALSE))/100*AN10</f>
        <v>0</v>
      </c>
      <c r="AP10" s="687">
        <f>VLOOKUP(AM10,Düngemittel!$B$6:$E$64,2,FALSE)*AN10</f>
        <v>0</v>
      </c>
      <c r="AQ10" s="687">
        <f>VLOOKUP(AM10,Düngemittel!$B$6:$E$64,4,FALSE)*AN10</f>
        <v>0</v>
      </c>
      <c r="AS10" s="886"/>
      <c r="AT10" s="887" t="s">
        <v>805</v>
      </c>
      <c r="AU10" s="906">
        <v>0</v>
      </c>
      <c r="AV10" s="687">
        <f>VLOOKUP(AT10,Düngemittel!$B$6:$E$64,2,FALSE)*(VLOOKUP(AT10,Düngemittel!$B$6:$E$64,3,FALSE))/100*AU10</f>
        <v>0</v>
      </c>
      <c r="AW10" s="687">
        <f>VLOOKUP(AT10,Düngemittel!$B$6:$E$64,2,FALSE)*AU10</f>
        <v>0</v>
      </c>
      <c r="AX10" s="687">
        <f>VLOOKUP(AT10,Düngemittel!$B$6:$E$64,4,FALSE)*AU10</f>
        <v>0</v>
      </c>
      <c r="AZ10" s="886"/>
      <c r="BA10" s="887" t="s">
        <v>805</v>
      </c>
      <c r="BB10" s="906">
        <v>0</v>
      </c>
      <c r="BC10" s="687">
        <f>VLOOKUP(BA10,Düngemittel!$B$6:$E$64,2,FALSE)*(VLOOKUP(BA10,Düngemittel!$B$6:$E$64,3,FALSE))/100*BB10</f>
        <v>0</v>
      </c>
      <c r="BD10" s="687">
        <f>VLOOKUP(BA10,Düngemittel!$B$6:$E$64,2,FALSE)*BB10</f>
        <v>0</v>
      </c>
      <c r="BE10" s="687">
        <f>VLOOKUP(BA10,Düngemittel!$B$6:$E$64,4,FALSE)*BB10</f>
        <v>0</v>
      </c>
      <c r="BG10" s="853">
        <f t="shared" si="17"/>
        <v>0</v>
      </c>
      <c r="BH10" s="308">
        <f t="shared" si="18"/>
        <v>0</v>
      </c>
      <c r="BI10" s="853">
        <f t="shared" si="18"/>
        <v>0</v>
      </c>
      <c r="BJ10" s="777">
        <f t="shared" si="19"/>
        <v>0</v>
      </c>
      <c r="BK10" s="308">
        <f t="shared" si="20"/>
        <v>0</v>
      </c>
      <c r="BL10" s="83"/>
      <c r="BM10" s="686">
        <f t="shared" si="21"/>
        <v>0</v>
      </c>
      <c r="BN10" s="686">
        <f t="shared" si="10"/>
        <v>0</v>
      </c>
      <c r="BO10" s="686">
        <f t="shared" si="10"/>
        <v>0</v>
      </c>
      <c r="BP10" s="686">
        <f t="shared" si="10"/>
        <v>0</v>
      </c>
      <c r="BQ10" s="686">
        <f t="shared" si="10"/>
        <v>0</v>
      </c>
      <c r="BT10" s="351">
        <f t="shared" si="11"/>
        <v>0</v>
      </c>
      <c r="BU10" s="351">
        <f t="shared" si="12"/>
        <v>0</v>
      </c>
      <c r="BW10" s="580" t="s">
        <v>690</v>
      </c>
      <c r="BX10" s="580">
        <v>80</v>
      </c>
      <c r="BY10" s="580">
        <v>100</v>
      </c>
      <c r="BZ10" s="580">
        <v>1</v>
      </c>
      <c r="CA10" s="580">
        <v>1.5</v>
      </c>
      <c r="CB10" s="641">
        <v>60</v>
      </c>
      <c r="CC10" s="393">
        <v>0.64</v>
      </c>
      <c r="CD10" s="352">
        <f t="shared" si="0"/>
        <v>51.2</v>
      </c>
      <c r="CE10" s="9"/>
      <c r="CF10" s="3"/>
    </row>
    <row r="11" spans="1:85" ht="26.25" customHeight="1" x14ac:dyDescent="0.25">
      <c r="A11" s="342"/>
      <c r="B11" s="1215"/>
      <c r="C11" s="600" t="s">
        <v>31</v>
      </c>
      <c r="D11" s="408">
        <f t="shared" si="1"/>
        <v>0</v>
      </c>
      <c r="E11" s="427">
        <f t="shared" si="2"/>
        <v>0</v>
      </c>
      <c r="F11" s="1206"/>
      <c r="G11" s="413">
        <f t="shared" si="3"/>
        <v>0</v>
      </c>
      <c r="H11" s="602" t="s">
        <v>510</v>
      </c>
      <c r="I11" s="427">
        <f t="shared" si="4"/>
        <v>0</v>
      </c>
      <c r="J11" s="430" t="s">
        <v>31</v>
      </c>
      <c r="K11" s="606">
        <f t="shared" si="5"/>
        <v>0</v>
      </c>
      <c r="L11" s="408">
        <f t="shared" si="6"/>
        <v>0</v>
      </c>
      <c r="M11" s="1209"/>
      <c r="N11" s="450" t="s">
        <v>160</v>
      </c>
      <c r="O11" s="427">
        <f t="shared" si="7"/>
        <v>0</v>
      </c>
      <c r="P11" s="1212"/>
      <c r="Q11" s="747">
        <f t="shared" si="13"/>
        <v>0</v>
      </c>
      <c r="R11" s="608">
        <f t="shared" si="8"/>
        <v>0</v>
      </c>
      <c r="S11" s="479">
        <f t="shared" si="9"/>
        <v>0</v>
      </c>
      <c r="T11" s="435">
        <f t="shared" si="14"/>
        <v>0</v>
      </c>
      <c r="V11" s="852">
        <f t="shared" si="15"/>
        <v>0</v>
      </c>
      <c r="W11" s="852" t="str">
        <f t="shared" si="16"/>
        <v>keine</v>
      </c>
      <c r="X11" s="886"/>
      <c r="Y11" s="887" t="s">
        <v>805</v>
      </c>
      <c r="Z11" s="906">
        <v>0</v>
      </c>
      <c r="AA11" s="687">
        <f>VLOOKUP(Y11,Düngemittel!$B$6:$E$64,2,FALSE)*(VLOOKUP(Y11,Düngemittel!$B$6:$E$64,3,FALSE))/100*Z11</f>
        <v>0</v>
      </c>
      <c r="AB11" s="687">
        <f>VLOOKUP(Y11,Düngemittel!$B$6:$E$64,2,FALSE)*Z11</f>
        <v>0</v>
      </c>
      <c r="AC11" s="687">
        <f>VLOOKUP(Y11,Düngemittel!$B$6:$E$64,4,FALSE)*Z11</f>
        <v>0</v>
      </c>
      <c r="AE11" s="886"/>
      <c r="AF11" s="887" t="s">
        <v>805</v>
      </c>
      <c r="AG11" s="906">
        <v>0</v>
      </c>
      <c r="AH11" s="687">
        <f>VLOOKUP(AF11,Düngemittel!$B$6:$E$64,2,FALSE)*(VLOOKUP(AF11,Düngemittel!$B$6:$E$64,3,FALSE))/100*AG11</f>
        <v>0</v>
      </c>
      <c r="AI11" s="687">
        <f>VLOOKUP(AF11,Düngemittel!$B$6:$E$64,2,FALSE)*AG11</f>
        <v>0</v>
      </c>
      <c r="AJ11" s="687">
        <f>VLOOKUP(AF11,Düngemittel!$B$6:$E$64,4,FALSE)*AG11</f>
        <v>0</v>
      </c>
      <c r="AL11" s="886"/>
      <c r="AM11" s="887" t="s">
        <v>805</v>
      </c>
      <c r="AN11" s="906">
        <v>0</v>
      </c>
      <c r="AO11" s="687">
        <f>VLOOKUP(AM11,Düngemittel!$B$6:$E$64,2,FALSE)*(VLOOKUP(AM11,Düngemittel!$B$6:$E$64,3,FALSE))/100*AN11</f>
        <v>0</v>
      </c>
      <c r="AP11" s="687">
        <f>VLOOKUP(AM11,Düngemittel!$B$6:$E$64,2,FALSE)*AN11</f>
        <v>0</v>
      </c>
      <c r="AQ11" s="687">
        <f>VLOOKUP(AM11,Düngemittel!$B$6:$E$64,4,FALSE)*AN11</f>
        <v>0</v>
      </c>
      <c r="AS11" s="886"/>
      <c r="AT11" s="887" t="s">
        <v>805</v>
      </c>
      <c r="AU11" s="906">
        <v>0</v>
      </c>
      <c r="AV11" s="687">
        <f>VLOOKUP(AT11,Düngemittel!$B$6:$E$64,2,FALSE)*(VLOOKUP(AT11,Düngemittel!$B$6:$E$64,3,FALSE))/100*AU11</f>
        <v>0</v>
      </c>
      <c r="AW11" s="687">
        <f>VLOOKUP(AT11,Düngemittel!$B$6:$E$64,2,FALSE)*AU11</f>
        <v>0</v>
      </c>
      <c r="AX11" s="687">
        <f>VLOOKUP(AT11,Düngemittel!$B$6:$E$64,4,FALSE)*AU11</f>
        <v>0</v>
      </c>
      <c r="AZ11" s="886"/>
      <c r="BA11" s="887" t="s">
        <v>805</v>
      </c>
      <c r="BB11" s="906">
        <v>0</v>
      </c>
      <c r="BC11" s="687">
        <f>VLOOKUP(BA11,Düngemittel!$B$6:$E$64,2,FALSE)*(VLOOKUP(BA11,Düngemittel!$B$6:$E$64,3,FALSE))/100*BB11</f>
        <v>0</v>
      </c>
      <c r="BD11" s="687">
        <f>VLOOKUP(BA11,Düngemittel!$B$6:$E$64,2,FALSE)*BB11</f>
        <v>0</v>
      </c>
      <c r="BE11" s="687">
        <f>VLOOKUP(BA11,Düngemittel!$B$6:$E$64,4,FALSE)*BB11</f>
        <v>0</v>
      </c>
      <c r="BG11" s="853">
        <f t="shared" si="17"/>
        <v>0</v>
      </c>
      <c r="BH11" s="308">
        <f t="shared" si="18"/>
        <v>0</v>
      </c>
      <c r="BI11" s="853">
        <f t="shared" si="18"/>
        <v>0</v>
      </c>
      <c r="BJ11" s="777">
        <f t="shared" si="19"/>
        <v>0</v>
      </c>
      <c r="BK11" s="308">
        <f t="shared" si="20"/>
        <v>0</v>
      </c>
      <c r="BL11" s="83"/>
      <c r="BM11" s="686">
        <f t="shared" si="21"/>
        <v>0</v>
      </c>
      <c r="BN11" s="686">
        <f t="shared" si="10"/>
        <v>0</v>
      </c>
      <c r="BO11" s="686">
        <f t="shared" si="10"/>
        <v>0</v>
      </c>
      <c r="BP11" s="686">
        <f t="shared" si="10"/>
        <v>0</v>
      </c>
      <c r="BQ11" s="686">
        <f t="shared" si="10"/>
        <v>0</v>
      </c>
      <c r="BT11" s="351">
        <f t="shared" si="11"/>
        <v>0</v>
      </c>
      <c r="BU11" s="351">
        <f t="shared" si="12"/>
        <v>0</v>
      </c>
      <c r="BW11" s="124" t="s">
        <v>225</v>
      </c>
      <c r="BX11" s="124">
        <v>400</v>
      </c>
      <c r="BY11" s="124">
        <v>220</v>
      </c>
      <c r="BZ11" s="593">
        <v>0.2</v>
      </c>
      <c r="CA11" s="593">
        <v>0.2</v>
      </c>
      <c r="CB11" s="641">
        <v>60</v>
      </c>
      <c r="CC11" s="393">
        <v>0.14000000000000001</v>
      </c>
      <c r="CD11" s="352">
        <f t="shared" si="0"/>
        <v>56.000000000000007</v>
      </c>
      <c r="CE11" s="9"/>
      <c r="CF11" s="3"/>
    </row>
    <row r="12" spans="1:85" ht="26.25" customHeight="1" x14ac:dyDescent="0.25">
      <c r="A12" s="342"/>
      <c r="B12" s="1215"/>
      <c r="C12" s="600" t="s">
        <v>31</v>
      </c>
      <c r="D12" s="408">
        <f t="shared" si="1"/>
        <v>0</v>
      </c>
      <c r="E12" s="427">
        <f t="shared" si="2"/>
        <v>0</v>
      </c>
      <c r="F12" s="1206"/>
      <c r="G12" s="413">
        <f t="shared" si="3"/>
        <v>0</v>
      </c>
      <c r="H12" s="602" t="s">
        <v>510</v>
      </c>
      <c r="I12" s="427">
        <f t="shared" si="4"/>
        <v>0</v>
      </c>
      <c r="J12" s="430" t="s">
        <v>31</v>
      </c>
      <c r="K12" s="606">
        <f t="shared" si="5"/>
        <v>0</v>
      </c>
      <c r="L12" s="408">
        <f t="shared" si="6"/>
        <v>0</v>
      </c>
      <c r="M12" s="1209"/>
      <c r="N12" s="450" t="s">
        <v>160</v>
      </c>
      <c r="O12" s="427">
        <f t="shared" si="7"/>
        <v>0</v>
      </c>
      <c r="P12" s="1212"/>
      <c r="Q12" s="747">
        <f t="shared" si="13"/>
        <v>0</v>
      </c>
      <c r="R12" s="608">
        <f t="shared" si="8"/>
        <v>0</v>
      </c>
      <c r="S12" s="479">
        <f t="shared" si="9"/>
        <v>0</v>
      </c>
      <c r="T12" s="435">
        <f t="shared" si="14"/>
        <v>0</v>
      </c>
      <c r="V12" s="852">
        <f t="shared" si="15"/>
        <v>0</v>
      </c>
      <c r="W12" s="852" t="str">
        <f t="shared" si="16"/>
        <v>keine</v>
      </c>
      <c r="X12" s="886"/>
      <c r="Y12" s="887" t="s">
        <v>805</v>
      </c>
      <c r="Z12" s="906">
        <v>0</v>
      </c>
      <c r="AA12" s="687">
        <f>VLOOKUP(Y12,Düngemittel!$B$6:$E$64,2,FALSE)*(VLOOKUP(Y12,Düngemittel!$B$6:$E$64,3,FALSE))/100*Z12</f>
        <v>0</v>
      </c>
      <c r="AB12" s="687">
        <f>VLOOKUP(Y12,Düngemittel!$B$6:$E$64,2,FALSE)*Z12</f>
        <v>0</v>
      </c>
      <c r="AC12" s="687">
        <f>VLOOKUP(Y12,Düngemittel!$B$6:$E$64,4,FALSE)*Z12</f>
        <v>0</v>
      </c>
      <c r="AE12" s="886"/>
      <c r="AF12" s="887" t="s">
        <v>805</v>
      </c>
      <c r="AG12" s="906">
        <v>0</v>
      </c>
      <c r="AH12" s="687">
        <f>VLOOKUP(AF12,Düngemittel!$B$6:$E$64,2,FALSE)*(VLOOKUP(AF12,Düngemittel!$B$6:$E$64,3,FALSE))/100*AG12</f>
        <v>0</v>
      </c>
      <c r="AI12" s="687">
        <f>VLOOKUP(AF12,Düngemittel!$B$6:$E$64,2,FALSE)*AG12</f>
        <v>0</v>
      </c>
      <c r="AJ12" s="687">
        <f>VLOOKUP(AF12,Düngemittel!$B$6:$E$64,4,FALSE)*AG12</f>
        <v>0</v>
      </c>
      <c r="AL12" s="886"/>
      <c r="AM12" s="887" t="s">
        <v>805</v>
      </c>
      <c r="AN12" s="906">
        <v>0</v>
      </c>
      <c r="AO12" s="687">
        <f>VLOOKUP(AM12,Düngemittel!$B$6:$E$64,2,FALSE)*(VLOOKUP(AM12,Düngemittel!$B$6:$E$64,3,FALSE))/100*AN12</f>
        <v>0</v>
      </c>
      <c r="AP12" s="687">
        <f>VLOOKUP(AM12,Düngemittel!$B$6:$E$64,2,FALSE)*AN12</f>
        <v>0</v>
      </c>
      <c r="AQ12" s="687">
        <f>VLOOKUP(AM12,Düngemittel!$B$6:$E$64,4,FALSE)*AN12</f>
        <v>0</v>
      </c>
      <c r="AS12" s="886"/>
      <c r="AT12" s="887" t="s">
        <v>805</v>
      </c>
      <c r="AU12" s="906">
        <v>0</v>
      </c>
      <c r="AV12" s="687">
        <f>VLOOKUP(AT12,Düngemittel!$B$6:$E$64,2,FALSE)*(VLOOKUP(AT12,Düngemittel!$B$6:$E$64,3,FALSE))/100*AU12</f>
        <v>0</v>
      </c>
      <c r="AW12" s="687">
        <f>VLOOKUP(AT12,Düngemittel!$B$6:$E$64,2,FALSE)*AU12</f>
        <v>0</v>
      </c>
      <c r="AX12" s="687">
        <f>VLOOKUP(AT12,Düngemittel!$B$6:$E$64,4,FALSE)*AU12</f>
        <v>0</v>
      </c>
      <c r="AZ12" s="886"/>
      <c r="BA12" s="887" t="s">
        <v>805</v>
      </c>
      <c r="BB12" s="906">
        <v>0</v>
      </c>
      <c r="BC12" s="687">
        <f>VLOOKUP(BA12,Düngemittel!$B$6:$E$64,2,FALSE)*(VLOOKUP(BA12,Düngemittel!$B$6:$E$64,3,FALSE))/100*BB12</f>
        <v>0</v>
      </c>
      <c r="BD12" s="687">
        <f>VLOOKUP(BA12,Düngemittel!$B$6:$E$64,2,FALSE)*BB12</f>
        <v>0</v>
      </c>
      <c r="BE12" s="687">
        <f>VLOOKUP(BA12,Düngemittel!$B$6:$E$64,4,FALSE)*BB12</f>
        <v>0</v>
      </c>
      <c r="BG12" s="853">
        <f t="shared" si="17"/>
        <v>0</v>
      </c>
      <c r="BH12" s="308">
        <f t="shared" si="18"/>
        <v>0</v>
      </c>
      <c r="BI12" s="853">
        <f t="shared" si="18"/>
        <v>0</v>
      </c>
      <c r="BJ12" s="777">
        <f t="shared" si="19"/>
        <v>0</v>
      </c>
      <c r="BK12" s="308">
        <f t="shared" si="20"/>
        <v>0</v>
      </c>
      <c r="BL12" s="83"/>
      <c r="BM12" s="686">
        <f t="shared" si="21"/>
        <v>0</v>
      </c>
      <c r="BN12" s="686">
        <f t="shared" si="10"/>
        <v>0</v>
      </c>
      <c r="BO12" s="686">
        <f t="shared" si="10"/>
        <v>0</v>
      </c>
      <c r="BP12" s="686">
        <f t="shared" si="10"/>
        <v>0</v>
      </c>
      <c r="BQ12" s="686">
        <f t="shared" si="10"/>
        <v>0</v>
      </c>
      <c r="BT12" s="351">
        <f t="shared" si="11"/>
        <v>0</v>
      </c>
      <c r="BU12" s="351">
        <f t="shared" si="12"/>
        <v>0</v>
      </c>
      <c r="BW12" s="580" t="s">
        <v>691</v>
      </c>
      <c r="BX12" s="580">
        <v>350</v>
      </c>
      <c r="BY12" s="580">
        <v>190</v>
      </c>
      <c r="BZ12" s="580">
        <v>0.2</v>
      </c>
      <c r="CA12" s="580">
        <v>0.3</v>
      </c>
      <c r="CB12" s="641">
        <v>90</v>
      </c>
      <c r="CC12" s="393">
        <v>0.28000000000000003</v>
      </c>
      <c r="CD12" s="352">
        <f t="shared" si="0"/>
        <v>98.000000000000014</v>
      </c>
      <c r="CE12" s="9"/>
      <c r="CF12" s="3"/>
    </row>
    <row r="13" spans="1:85" ht="26.25" customHeight="1" x14ac:dyDescent="0.25">
      <c r="A13" s="342"/>
      <c r="B13" s="1215"/>
      <c r="C13" s="600" t="s">
        <v>31</v>
      </c>
      <c r="D13" s="408">
        <f t="shared" si="1"/>
        <v>0</v>
      </c>
      <c r="E13" s="427">
        <f t="shared" si="2"/>
        <v>0</v>
      </c>
      <c r="F13" s="1206"/>
      <c r="G13" s="413">
        <f t="shared" si="3"/>
        <v>0</v>
      </c>
      <c r="H13" s="602" t="s">
        <v>510</v>
      </c>
      <c r="I13" s="427">
        <f t="shared" si="4"/>
        <v>0</v>
      </c>
      <c r="J13" s="430" t="s">
        <v>31</v>
      </c>
      <c r="K13" s="606">
        <f t="shared" si="5"/>
        <v>0</v>
      </c>
      <c r="L13" s="408">
        <f t="shared" si="6"/>
        <v>0</v>
      </c>
      <c r="M13" s="1209"/>
      <c r="N13" s="450" t="s">
        <v>160</v>
      </c>
      <c r="O13" s="427">
        <f t="shared" si="7"/>
        <v>0</v>
      </c>
      <c r="P13" s="1212"/>
      <c r="Q13" s="747">
        <f t="shared" si="13"/>
        <v>0</v>
      </c>
      <c r="R13" s="608">
        <f t="shared" si="8"/>
        <v>0</v>
      </c>
      <c r="S13" s="479">
        <f t="shared" si="9"/>
        <v>0</v>
      </c>
      <c r="T13" s="435">
        <f t="shared" si="14"/>
        <v>0</v>
      </c>
      <c r="V13" s="852">
        <f t="shared" si="15"/>
        <v>0</v>
      </c>
      <c r="W13" s="852" t="str">
        <f t="shared" si="16"/>
        <v>keine</v>
      </c>
      <c r="X13" s="886"/>
      <c r="Y13" s="887" t="s">
        <v>805</v>
      </c>
      <c r="Z13" s="906">
        <v>0</v>
      </c>
      <c r="AA13" s="687">
        <f>VLOOKUP(Y13,Düngemittel!$B$6:$E$64,2,FALSE)*(VLOOKUP(Y13,Düngemittel!$B$6:$E$64,3,FALSE))/100*Z13</f>
        <v>0</v>
      </c>
      <c r="AB13" s="687">
        <f>VLOOKUP(Y13,Düngemittel!$B$6:$E$64,2,FALSE)*Z13</f>
        <v>0</v>
      </c>
      <c r="AC13" s="687">
        <f>VLOOKUP(Y13,Düngemittel!$B$6:$E$64,4,FALSE)*Z13</f>
        <v>0</v>
      </c>
      <c r="AE13" s="886"/>
      <c r="AF13" s="887" t="s">
        <v>805</v>
      </c>
      <c r="AG13" s="906">
        <v>0</v>
      </c>
      <c r="AH13" s="687">
        <f>VLOOKUP(AF13,Düngemittel!$B$6:$E$64,2,FALSE)*(VLOOKUP(AF13,Düngemittel!$B$6:$E$64,3,FALSE))/100*AG13</f>
        <v>0</v>
      </c>
      <c r="AI13" s="687">
        <f>VLOOKUP(AF13,Düngemittel!$B$6:$E$64,2,FALSE)*AG13</f>
        <v>0</v>
      </c>
      <c r="AJ13" s="687">
        <f>VLOOKUP(AF13,Düngemittel!$B$6:$E$64,4,FALSE)*AG13</f>
        <v>0</v>
      </c>
      <c r="AL13" s="886"/>
      <c r="AM13" s="887" t="s">
        <v>805</v>
      </c>
      <c r="AN13" s="906">
        <v>0</v>
      </c>
      <c r="AO13" s="687">
        <f>VLOOKUP(AM13,Düngemittel!$B$6:$E$64,2,FALSE)*(VLOOKUP(AM13,Düngemittel!$B$6:$E$64,3,FALSE))/100*AN13</f>
        <v>0</v>
      </c>
      <c r="AP13" s="687">
        <f>VLOOKUP(AM13,Düngemittel!$B$6:$E$64,2,FALSE)*AN13</f>
        <v>0</v>
      </c>
      <c r="AQ13" s="687">
        <f>VLOOKUP(AM13,Düngemittel!$B$6:$E$64,4,FALSE)*AN13</f>
        <v>0</v>
      </c>
      <c r="AS13" s="886"/>
      <c r="AT13" s="887" t="s">
        <v>805</v>
      </c>
      <c r="AU13" s="906">
        <v>0</v>
      </c>
      <c r="AV13" s="687">
        <f>VLOOKUP(AT13,Düngemittel!$B$6:$E$64,2,FALSE)*(VLOOKUP(AT13,Düngemittel!$B$6:$E$64,3,FALSE))/100*AU13</f>
        <v>0</v>
      </c>
      <c r="AW13" s="687">
        <f>VLOOKUP(AT13,Düngemittel!$B$6:$E$64,2,FALSE)*AU13</f>
        <v>0</v>
      </c>
      <c r="AX13" s="687">
        <f>VLOOKUP(AT13,Düngemittel!$B$6:$E$64,4,FALSE)*AU13</f>
        <v>0</v>
      </c>
      <c r="AZ13" s="886"/>
      <c r="BA13" s="887" t="s">
        <v>805</v>
      </c>
      <c r="BB13" s="906">
        <v>0</v>
      </c>
      <c r="BC13" s="687">
        <f>VLOOKUP(BA13,Düngemittel!$B$6:$E$64,2,FALSE)*(VLOOKUP(BA13,Düngemittel!$B$6:$E$64,3,FALSE))/100*BB13</f>
        <v>0</v>
      </c>
      <c r="BD13" s="687">
        <f>VLOOKUP(BA13,Düngemittel!$B$6:$E$64,2,FALSE)*BB13</f>
        <v>0</v>
      </c>
      <c r="BE13" s="687">
        <f>VLOOKUP(BA13,Düngemittel!$B$6:$E$64,4,FALSE)*BB13</f>
        <v>0</v>
      </c>
      <c r="BG13" s="853">
        <f t="shared" si="17"/>
        <v>0</v>
      </c>
      <c r="BH13" s="308">
        <f t="shared" si="18"/>
        <v>0</v>
      </c>
      <c r="BI13" s="853">
        <f t="shared" si="18"/>
        <v>0</v>
      </c>
      <c r="BJ13" s="777">
        <f t="shared" si="19"/>
        <v>0</v>
      </c>
      <c r="BK13" s="308">
        <f t="shared" si="20"/>
        <v>0</v>
      </c>
      <c r="BL13" s="83"/>
      <c r="BM13" s="686">
        <f t="shared" si="21"/>
        <v>0</v>
      </c>
      <c r="BN13" s="686">
        <f t="shared" si="10"/>
        <v>0</v>
      </c>
      <c r="BO13" s="686">
        <f t="shared" si="10"/>
        <v>0</v>
      </c>
      <c r="BP13" s="686">
        <f t="shared" si="10"/>
        <v>0</v>
      </c>
      <c r="BQ13" s="686">
        <f t="shared" si="10"/>
        <v>0</v>
      </c>
      <c r="BT13" s="351">
        <f t="shared" si="11"/>
        <v>0</v>
      </c>
      <c r="BU13" s="351">
        <f t="shared" si="12"/>
        <v>0</v>
      </c>
      <c r="BW13" s="580" t="s">
        <v>692</v>
      </c>
      <c r="BX13" s="580">
        <v>350</v>
      </c>
      <c r="BY13" s="580">
        <v>100</v>
      </c>
      <c r="BZ13" s="580">
        <v>0.2</v>
      </c>
      <c r="CA13" s="580">
        <v>0.3</v>
      </c>
      <c r="CB13" s="641">
        <v>60</v>
      </c>
      <c r="CC13" s="393">
        <v>0.15</v>
      </c>
      <c r="CD13" s="352">
        <f t="shared" si="0"/>
        <v>52.5</v>
      </c>
      <c r="CE13" s="9"/>
      <c r="CF13" s="3"/>
    </row>
    <row r="14" spans="1:85" ht="26.25" customHeight="1" x14ac:dyDescent="0.25">
      <c r="A14" s="342"/>
      <c r="B14" s="1215"/>
      <c r="C14" s="600" t="s">
        <v>31</v>
      </c>
      <c r="D14" s="408">
        <f t="shared" si="1"/>
        <v>0</v>
      </c>
      <c r="E14" s="427">
        <f t="shared" si="2"/>
        <v>0</v>
      </c>
      <c r="F14" s="1206"/>
      <c r="G14" s="413">
        <f t="shared" si="3"/>
        <v>0</v>
      </c>
      <c r="H14" s="602" t="s">
        <v>510</v>
      </c>
      <c r="I14" s="427">
        <f t="shared" si="4"/>
        <v>0</v>
      </c>
      <c r="J14" s="430" t="s">
        <v>31</v>
      </c>
      <c r="K14" s="606">
        <f t="shared" si="5"/>
        <v>0</v>
      </c>
      <c r="L14" s="408">
        <f t="shared" si="6"/>
        <v>0</v>
      </c>
      <c r="M14" s="1209"/>
      <c r="N14" s="450" t="s">
        <v>160</v>
      </c>
      <c r="O14" s="427">
        <f t="shared" si="7"/>
        <v>0</v>
      </c>
      <c r="P14" s="1212"/>
      <c r="Q14" s="747">
        <f t="shared" si="13"/>
        <v>0</v>
      </c>
      <c r="R14" s="608">
        <f t="shared" si="8"/>
        <v>0</v>
      </c>
      <c r="S14" s="479">
        <f t="shared" si="9"/>
        <v>0</v>
      </c>
      <c r="T14" s="435">
        <f t="shared" si="14"/>
        <v>0</v>
      </c>
      <c r="V14" s="852">
        <f t="shared" si="15"/>
        <v>0</v>
      </c>
      <c r="W14" s="852" t="str">
        <f t="shared" si="16"/>
        <v>keine</v>
      </c>
      <c r="X14" s="886"/>
      <c r="Y14" s="887" t="s">
        <v>805</v>
      </c>
      <c r="Z14" s="906">
        <v>0</v>
      </c>
      <c r="AA14" s="687">
        <f>VLOOKUP(Y14,Düngemittel!$B$6:$E$64,2,FALSE)*(VLOOKUP(Y14,Düngemittel!$B$6:$E$64,3,FALSE))/100*Z14</f>
        <v>0</v>
      </c>
      <c r="AB14" s="687">
        <f>VLOOKUP(Y14,Düngemittel!$B$6:$E$64,2,FALSE)*Z14</f>
        <v>0</v>
      </c>
      <c r="AC14" s="687">
        <f>VLOOKUP(Y14,Düngemittel!$B$6:$E$64,4,FALSE)*Z14</f>
        <v>0</v>
      </c>
      <c r="AE14" s="886"/>
      <c r="AF14" s="887" t="s">
        <v>805</v>
      </c>
      <c r="AG14" s="906">
        <v>0</v>
      </c>
      <c r="AH14" s="687">
        <f>VLOOKUP(AF14,Düngemittel!$B$6:$E$64,2,FALSE)*(VLOOKUP(AF14,Düngemittel!$B$6:$E$64,3,FALSE))/100*AG14</f>
        <v>0</v>
      </c>
      <c r="AI14" s="687">
        <f>VLOOKUP(AF14,Düngemittel!$B$6:$E$64,2,FALSE)*AG14</f>
        <v>0</v>
      </c>
      <c r="AJ14" s="687">
        <f>VLOOKUP(AF14,Düngemittel!$B$6:$E$64,4,FALSE)*AG14</f>
        <v>0</v>
      </c>
      <c r="AL14" s="886"/>
      <c r="AM14" s="887" t="s">
        <v>805</v>
      </c>
      <c r="AN14" s="906">
        <v>0</v>
      </c>
      <c r="AO14" s="687">
        <f>VLOOKUP(AM14,Düngemittel!$B$6:$E$64,2,FALSE)*(VLOOKUP(AM14,Düngemittel!$B$6:$E$64,3,FALSE))/100*AN14</f>
        <v>0</v>
      </c>
      <c r="AP14" s="687">
        <f>VLOOKUP(AM14,Düngemittel!$B$6:$E$64,2,FALSE)*AN14</f>
        <v>0</v>
      </c>
      <c r="AQ14" s="687">
        <f>VLOOKUP(AM14,Düngemittel!$B$6:$E$64,4,FALSE)*AN14</f>
        <v>0</v>
      </c>
      <c r="AS14" s="886"/>
      <c r="AT14" s="887" t="s">
        <v>805</v>
      </c>
      <c r="AU14" s="906">
        <v>0</v>
      </c>
      <c r="AV14" s="687">
        <f>VLOOKUP(AT14,Düngemittel!$B$6:$E$64,2,FALSE)*(VLOOKUP(AT14,Düngemittel!$B$6:$E$64,3,FALSE))/100*AU14</f>
        <v>0</v>
      </c>
      <c r="AW14" s="687">
        <f>VLOOKUP(AT14,Düngemittel!$B$6:$E$64,2,FALSE)*AU14</f>
        <v>0</v>
      </c>
      <c r="AX14" s="687">
        <f>VLOOKUP(AT14,Düngemittel!$B$6:$E$64,4,FALSE)*AU14</f>
        <v>0</v>
      </c>
      <c r="AZ14" s="886"/>
      <c r="BA14" s="887" t="s">
        <v>805</v>
      </c>
      <c r="BB14" s="906">
        <v>0</v>
      </c>
      <c r="BC14" s="687">
        <f>VLOOKUP(BA14,Düngemittel!$B$6:$E$64,2,FALSE)*(VLOOKUP(BA14,Düngemittel!$B$6:$E$64,3,FALSE))/100*BB14</f>
        <v>0</v>
      </c>
      <c r="BD14" s="687">
        <f>VLOOKUP(BA14,Düngemittel!$B$6:$E$64,2,FALSE)*BB14</f>
        <v>0</v>
      </c>
      <c r="BE14" s="687">
        <f>VLOOKUP(BA14,Düngemittel!$B$6:$E$64,4,FALSE)*BB14</f>
        <v>0</v>
      </c>
      <c r="BG14" s="853">
        <f t="shared" si="17"/>
        <v>0</v>
      </c>
      <c r="BH14" s="308">
        <f t="shared" si="18"/>
        <v>0</v>
      </c>
      <c r="BI14" s="853">
        <f t="shared" si="18"/>
        <v>0</v>
      </c>
      <c r="BJ14" s="777">
        <f t="shared" si="19"/>
        <v>0</v>
      </c>
      <c r="BK14" s="308">
        <f t="shared" si="20"/>
        <v>0</v>
      </c>
      <c r="BL14" s="83"/>
      <c r="BM14" s="686">
        <f t="shared" si="21"/>
        <v>0</v>
      </c>
      <c r="BN14" s="686">
        <f t="shared" si="10"/>
        <v>0</v>
      </c>
      <c r="BO14" s="686">
        <f t="shared" si="10"/>
        <v>0</v>
      </c>
      <c r="BP14" s="686">
        <f t="shared" si="10"/>
        <v>0</v>
      </c>
      <c r="BQ14" s="686">
        <f t="shared" si="10"/>
        <v>0</v>
      </c>
      <c r="BT14" s="351">
        <f t="shared" si="11"/>
        <v>0</v>
      </c>
      <c r="BU14" s="351">
        <f t="shared" si="12"/>
        <v>0</v>
      </c>
      <c r="BW14" s="580" t="s">
        <v>693</v>
      </c>
      <c r="BX14" s="580">
        <v>350</v>
      </c>
      <c r="BY14" s="580">
        <v>180</v>
      </c>
      <c r="BZ14" s="580">
        <v>0.2</v>
      </c>
      <c r="CA14" s="580">
        <v>0.3</v>
      </c>
      <c r="CB14" s="641">
        <v>60</v>
      </c>
      <c r="CC14" s="393">
        <v>0.15</v>
      </c>
      <c r="CD14" s="352">
        <f t="shared" si="0"/>
        <v>52.5</v>
      </c>
      <c r="CE14" s="9"/>
      <c r="CF14"/>
    </row>
    <row r="15" spans="1:85" ht="26.25" customHeight="1" x14ac:dyDescent="0.25">
      <c r="A15" s="342"/>
      <c r="B15" s="1215"/>
      <c r="C15" s="600" t="s">
        <v>31</v>
      </c>
      <c r="D15" s="408">
        <f t="shared" si="1"/>
        <v>0</v>
      </c>
      <c r="E15" s="427">
        <f t="shared" si="2"/>
        <v>0</v>
      </c>
      <c r="F15" s="1206"/>
      <c r="G15" s="413">
        <f t="shared" si="3"/>
        <v>0</v>
      </c>
      <c r="H15" s="602" t="s">
        <v>510</v>
      </c>
      <c r="I15" s="427">
        <f t="shared" si="4"/>
        <v>0</v>
      </c>
      <c r="J15" s="430" t="s">
        <v>31</v>
      </c>
      <c r="K15" s="606">
        <f t="shared" si="5"/>
        <v>0</v>
      </c>
      <c r="L15" s="408">
        <f t="shared" si="6"/>
        <v>0</v>
      </c>
      <c r="M15" s="1209"/>
      <c r="N15" s="450" t="s">
        <v>160</v>
      </c>
      <c r="O15" s="427">
        <f t="shared" si="7"/>
        <v>0</v>
      </c>
      <c r="P15" s="1212"/>
      <c r="Q15" s="747">
        <f t="shared" si="13"/>
        <v>0</v>
      </c>
      <c r="R15" s="608">
        <f t="shared" si="8"/>
        <v>0</v>
      </c>
      <c r="S15" s="479">
        <f t="shared" si="9"/>
        <v>0</v>
      </c>
      <c r="T15" s="435">
        <f t="shared" si="14"/>
        <v>0</v>
      </c>
      <c r="V15" s="852">
        <f t="shared" si="15"/>
        <v>0</v>
      </c>
      <c r="W15" s="852" t="str">
        <f t="shared" si="16"/>
        <v>keine</v>
      </c>
      <c r="X15" s="886"/>
      <c r="Y15" s="887" t="s">
        <v>805</v>
      </c>
      <c r="Z15" s="906">
        <v>0</v>
      </c>
      <c r="AA15" s="687">
        <f>VLOOKUP(Y15,Düngemittel!$B$6:$E$64,2,FALSE)*(VLOOKUP(Y15,Düngemittel!$B$6:$E$64,3,FALSE))/100*Z15</f>
        <v>0</v>
      </c>
      <c r="AB15" s="687">
        <f>VLOOKUP(Y15,Düngemittel!$B$6:$E$64,2,FALSE)*Z15</f>
        <v>0</v>
      </c>
      <c r="AC15" s="687">
        <f>VLOOKUP(Y15,Düngemittel!$B$6:$E$64,4,FALSE)*Z15</f>
        <v>0</v>
      </c>
      <c r="AE15" s="886"/>
      <c r="AF15" s="887" t="s">
        <v>805</v>
      </c>
      <c r="AG15" s="906">
        <v>0</v>
      </c>
      <c r="AH15" s="687">
        <f>VLOOKUP(AF15,Düngemittel!$B$6:$E$64,2,FALSE)*(VLOOKUP(AF15,Düngemittel!$B$6:$E$64,3,FALSE))/100*AG15</f>
        <v>0</v>
      </c>
      <c r="AI15" s="687">
        <f>VLOOKUP(AF15,Düngemittel!$B$6:$E$64,2,FALSE)*AG15</f>
        <v>0</v>
      </c>
      <c r="AJ15" s="687">
        <f>VLOOKUP(AF15,Düngemittel!$B$6:$E$64,4,FALSE)*AG15</f>
        <v>0</v>
      </c>
      <c r="AL15" s="886"/>
      <c r="AM15" s="887" t="s">
        <v>805</v>
      </c>
      <c r="AN15" s="906">
        <v>0</v>
      </c>
      <c r="AO15" s="687">
        <f>VLOOKUP(AM15,Düngemittel!$B$6:$E$64,2,FALSE)*(VLOOKUP(AM15,Düngemittel!$B$6:$E$64,3,FALSE))/100*AN15</f>
        <v>0</v>
      </c>
      <c r="AP15" s="687">
        <f>VLOOKUP(AM15,Düngemittel!$B$6:$E$64,2,FALSE)*AN15</f>
        <v>0</v>
      </c>
      <c r="AQ15" s="687">
        <f>VLOOKUP(AM15,Düngemittel!$B$6:$E$64,4,FALSE)*AN15</f>
        <v>0</v>
      </c>
      <c r="AS15" s="886"/>
      <c r="AT15" s="887" t="s">
        <v>805</v>
      </c>
      <c r="AU15" s="906">
        <v>0</v>
      </c>
      <c r="AV15" s="687">
        <f>VLOOKUP(AT15,Düngemittel!$B$6:$E$64,2,FALSE)*(VLOOKUP(AT15,Düngemittel!$B$6:$E$64,3,FALSE))/100*AU15</f>
        <v>0</v>
      </c>
      <c r="AW15" s="687">
        <f>VLOOKUP(AT15,Düngemittel!$B$6:$E$64,2,FALSE)*AU15</f>
        <v>0</v>
      </c>
      <c r="AX15" s="687">
        <f>VLOOKUP(AT15,Düngemittel!$B$6:$E$64,4,FALSE)*AU15</f>
        <v>0</v>
      </c>
      <c r="AZ15" s="886"/>
      <c r="BA15" s="887" t="s">
        <v>805</v>
      </c>
      <c r="BB15" s="906">
        <v>0</v>
      </c>
      <c r="BC15" s="687">
        <f>VLOOKUP(BA15,Düngemittel!$B$6:$E$64,2,FALSE)*(VLOOKUP(BA15,Düngemittel!$B$6:$E$64,3,FALSE))/100*BB15</f>
        <v>0</v>
      </c>
      <c r="BD15" s="687">
        <f>VLOOKUP(BA15,Düngemittel!$B$6:$E$64,2,FALSE)*BB15</f>
        <v>0</v>
      </c>
      <c r="BE15" s="687">
        <f>VLOOKUP(BA15,Düngemittel!$B$6:$E$64,4,FALSE)*BB15</f>
        <v>0</v>
      </c>
      <c r="BG15" s="853">
        <f t="shared" si="17"/>
        <v>0</v>
      </c>
      <c r="BH15" s="308">
        <f t="shared" si="18"/>
        <v>0</v>
      </c>
      <c r="BI15" s="853">
        <f t="shared" si="18"/>
        <v>0</v>
      </c>
      <c r="BJ15" s="777">
        <f t="shared" si="19"/>
        <v>0</v>
      </c>
      <c r="BK15" s="308">
        <f t="shared" si="20"/>
        <v>0</v>
      </c>
      <c r="BL15" s="83"/>
      <c r="BM15" s="686">
        <f t="shared" si="21"/>
        <v>0</v>
      </c>
      <c r="BN15" s="686">
        <f t="shared" si="10"/>
        <v>0</v>
      </c>
      <c r="BO15" s="686">
        <f t="shared" si="10"/>
        <v>0</v>
      </c>
      <c r="BP15" s="686">
        <f t="shared" si="10"/>
        <v>0</v>
      </c>
      <c r="BQ15" s="686">
        <f t="shared" si="10"/>
        <v>0</v>
      </c>
      <c r="BT15" s="351">
        <f t="shared" si="11"/>
        <v>0</v>
      </c>
      <c r="BU15" s="351">
        <f t="shared" si="12"/>
        <v>0</v>
      </c>
      <c r="BW15" s="240" t="s">
        <v>701</v>
      </c>
      <c r="BX15" s="240">
        <v>650</v>
      </c>
      <c r="BY15" s="594">
        <v>190</v>
      </c>
      <c r="BZ15" s="595">
        <v>0.2</v>
      </c>
      <c r="CA15" s="595">
        <v>0.24</v>
      </c>
      <c r="CB15" s="641">
        <v>90</v>
      </c>
      <c r="CC15" s="393">
        <v>0.09</v>
      </c>
      <c r="CD15" s="352">
        <f t="shared" si="0"/>
        <v>58.5</v>
      </c>
    </row>
    <row r="16" spans="1:85" ht="26.25" customHeight="1" x14ac:dyDescent="0.25">
      <c r="A16" s="342"/>
      <c r="B16" s="1215"/>
      <c r="C16" s="600" t="s">
        <v>31</v>
      </c>
      <c r="D16" s="408">
        <f t="shared" si="1"/>
        <v>0</v>
      </c>
      <c r="E16" s="427">
        <f t="shared" si="2"/>
        <v>0</v>
      </c>
      <c r="F16" s="1206"/>
      <c r="G16" s="413">
        <f t="shared" si="3"/>
        <v>0</v>
      </c>
      <c r="H16" s="602" t="s">
        <v>510</v>
      </c>
      <c r="I16" s="427">
        <f t="shared" si="4"/>
        <v>0</v>
      </c>
      <c r="J16" s="430" t="s">
        <v>31</v>
      </c>
      <c r="K16" s="606">
        <f t="shared" si="5"/>
        <v>0</v>
      </c>
      <c r="L16" s="408">
        <f t="shared" si="6"/>
        <v>0</v>
      </c>
      <c r="M16" s="1209"/>
      <c r="N16" s="450" t="s">
        <v>160</v>
      </c>
      <c r="O16" s="427">
        <f t="shared" si="7"/>
        <v>0</v>
      </c>
      <c r="P16" s="1212"/>
      <c r="Q16" s="747">
        <f t="shared" si="13"/>
        <v>0</v>
      </c>
      <c r="R16" s="608">
        <f t="shared" si="8"/>
        <v>0</v>
      </c>
      <c r="S16" s="479">
        <f t="shared" si="9"/>
        <v>0</v>
      </c>
      <c r="T16" s="435">
        <f t="shared" si="14"/>
        <v>0</v>
      </c>
      <c r="V16" s="852">
        <f t="shared" si="15"/>
        <v>0</v>
      </c>
      <c r="W16" s="852" t="str">
        <f t="shared" si="16"/>
        <v>keine</v>
      </c>
      <c r="X16" s="886"/>
      <c r="Y16" s="887" t="s">
        <v>805</v>
      </c>
      <c r="Z16" s="906">
        <v>0</v>
      </c>
      <c r="AA16" s="687">
        <f>VLOOKUP(Y16,Düngemittel!$B$6:$E$64,2,FALSE)*(VLOOKUP(Y16,Düngemittel!$B$6:$E$64,3,FALSE))/100*Z16</f>
        <v>0</v>
      </c>
      <c r="AB16" s="687">
        <f>VLOOKUP(Y16,Düngemittel!$B$6:$E$64,2,FALSE)*Z16</f>
        <v>0</v>
      </c>
      <c r="AC16" s="687">
        <f>VLOOKUP(Y16,Düngemittel!$B$6:$E$64,4,FALSE)*Z16</f>
        <v>0</v>
      </c>
      <c r="AE16" s="886"/>
      <c r="AF16" s="887" t="s">
        <v>805</v>
      </c>
      <c r="AG16" s="906">
        <v>0</v>
      </c>
      <c r="AH16" s="687">
        <f>VLOOKUP(AF16,Düngemittel!$B$6:$E$64,2,FALSE)*(VLOOKUP(AF16,Düngemittel!$B$6:$E$64,3,FALSE))/100*AG16</f>
        <v>0</v>
      </c>
      <c r="AI16" s="687">
        <f>VLOOKUP(AF16,Düngemittel!$B$6:$E$64,2,FALSE)*AG16</f>
        <v>0</v>
      </c>
      <c r="AJ16" s="687">
        <f>VLOOKUP(AF16,Düngemittel!$B$6:$E$64,4,FALSE)*AG16</f>
        <v>0</v>
      </c>
      <c r="AL16" s="886"/>
      <c r="AM16" s="887" t="s">
        <v>805</v>
      </c>
      <c r="AN16" s="906">
        <v>0</v>
      </c>
      <c r="AO16" s="687">
        <f>VLOOKUP(AM16,Düngemittel!$B$6:$E$64,2,FALSE)*(VLOOKUP(AM16,Düngemittel!$B$6:$E$64,3,FALSE))/100*AN16</f>
        <v>0</v>
      </c>
      <c r="AP16" s="687">
        <f>VLOOKUP(AM16,Düngemittel!$B$6:$E$64,2,FALSE)*AN16</f>
        <v>0</v>
      </c>
      <c r="AQ16" s="687">
        <f>VLOOKUP(AM16,Düngemittel!$B$6:$E$64,4,FALSE)*AN16</f>
        <v>0</v>
      </c>
      <c r="AS16" s="886"/>
      <c r="AT16" s="887" t="s">
        <v>805</v>
      </c>
      <c r="AU16" s="906">
        <v>0</v>
      </c>
      <c r="AV16" s="687">
        <f>VLOOKUP(AT16,Düngemittel!$B$6:$E$64,2,FALSE)*(VLOOKUP(AT16,Düngemittel!$B$6:$E$64,3,FALSE))/100*AU16</f>
        <v>0</v>
      </c>
      <c r="AW16" s="687">
        <f>VLOOKUP(AT16,Düngemittel!$B$6:$E$64,2,FALSE)*AU16</f>
        <v>0</v>
      </c>
      <c r="AX16" s="687">
        <f>VLOOKUP(AT16,Düngemittel!$B$6:$E$64,4,FALSE)*AU16</f>
        <v>0</v>
      </c>
      <c r="AZ16" s="886"/>
      <c r="BA16" s="887" t="s">
        <v>805</v>
      </c>
      <c r="BB16" s="906">
        <v>0</v>
      </c>
      <c r="BC16" s="687">
        <f>VLOOKUP(BA16,Düngemittel!$B$6:$E$64,2,FALSE)*(VLOOKUP(BA16,Düngemittel!$B$6:$E$64,3,FALSE))/100*BB16</f>
        <v>0</v>
      </c>
      <c r="BD16" s="687">
        <f>VLOOKUP(BA16,Düngemittel!$B$6:$E$64,2,FALSE)*BB16</f>
        <v>0</v>
      </c>
      <c r="BE16" s="687">
        <f>VLOOKUP(BA16,Düngemittel!$B$6:$E$64,4,FALSE)*BB16</f>
        <v>0</v>
      </c>
      <c r="BG16" s="853">
        <f t="shared" si="17"/>
        <v>0</v>
      </c>
      <c r="BH16" s="308">
        <f t="shared" si="18"/>
        <v>0</v>
      </c>
      <c r="BI16" s="853">
        <f t="shared" si="18"/>
        <v>0</v>
      </c>
      <c r="BJ16" s="777">
        <f t="shared" si="19"/>
        <v>0</v>
      </c>
      <c r="BK16" s="308">
        <f t="shared" si="20"/>
        <v>0</v>
      </c>
      <c r="BL16" s="83"/>
      <c r="BM16" s="686">
        <f t="shared" si="21"/>
        <v>0</v>
      </c>
      <c r="BN16" s="686">
        <f t="shared" si="10"/>
        <v>0</v>
      </c>
      <c r="BO16" s="686">
        <f t="shared" si="10"/>
        <v>0</v>
      </c>
      <c r="BP16" s="686">
        <f t="shared" si="10"/>
        <v>0</v>
      </c>
      <c r="BQ16" s="686">
        <f t="shared" si="10"/>
        <v>0</v>
      </c>
      <c r="BT16" s="351">
        <f t="shared" si="11"/>
        <v>0</v>
      </c>
      <c r="BU16" s="351">
        <f t="shared" si="12"/>
        <v>0</v>
      </c>
      <c r="BW16" s="124" t="s">
        <v>16</v>
      </c>
      <c r="BX16" s="124">
        <v>55</v>
      </c>
      <c r="BY16" s="124">
        <v>130</v>
      </c>
      <c r="BZ16" s="124">
        <v>1</v>
      </c>
      <c r="CA16" s="124">
        <v>1.5</v>
      </c>
      <c r="CB16" s="641">
        <v>60</v>
      </c>
      <c r="CC16" s="393">
        <v>0.8</v>
      </c>
      <c r="CD16" s="352">
        <f>BX16*CC16</f>
        <v>44</v>
      </c>
      <c r="CE16" s="32"/>
      <c r="CF16" s="3"/>
    </row>
    <row r="17" spans="1:84" ht="26.25" customHeight="1" x14ac:dyDescent="0.25">
      <c r="A17" s="342"/>
      <c r="B17" s="1215"/>
      <c r="C17" s="600" t="s">
        <v>31</v>
      </c>
      <c r="D17" s="408">
        <f t="shared" si="1"/>
        <v>0</v>
      </c>
      <c r="E17" s="427">
        <f t="shared" si="2"/>
        <v>0</v>
      </c>
      <c r="F17" s="1206"/>
      <c r="G17" s="413">
        <f t="shared" si="3"/>
        <v>0</v>
      </c>
      <c r="H17" s="602" t="s">
        <v>510</v>
      </c>
      <c r="I17" s="427">
        <f t="shared" si="4"/>
        <v>0</v>
      </c>
      <c r="J17" s="430" t="s">
        <v>31</v>
      </c>
      <c r="K17" s="606">
        <f t="shared" si="5"/>
        <v>0</v>
      </c>
      <c r="L17" s="408">
        <f t="shared" si="6"/>
        <v>0</v>
      </c>
      <c r="M17" s="1209"/>
      <c r="N17" s="450" t="s">
        <v>160</v>
      </c>
      <c r="O17" s="427">
        <f t="shared" si="7"/>
        <v>0</v>
      </c>
      <c r="P17" s="1212"/>
      <c r="Q17" s="747">
        <f t="shared" si="13"/>
        <v>0</v>
      </c>
      <c r="R17" s="608">
        <f t="shared" si="8"/>
        <v>0</v>
      </c>
      <c r="S17" s="479">
        <f t="shared" si="9"/>
        <v>0</v>
      </c>
      <c r="T17" s="435">
        <f t="shared" si="14"/>
        <v>0</v>
      </c>
      <c r="V17" s="852">
        <f t="shared" si="15"/>
        <v>0</v>
      </c>
      <c r="W17" s="852" t="str">
        <f t="shared" si="16"/>
        <v>keine</v>
      </c>
      <c r="X17" s="886"/>
      <c r="Y17" s="887" t="s">
        <v>805</v>
      </c>
      <c r="Z17" s="906">
        <v>0</v>
      </c>
      <c r="AA17" s="687">
        <f>VLOOKUP(Y17,Düngemittel!$B$6:$E$64,2,FALSE)*(VLOOKUP(Y17,Düngemittel!$B$6:$E$64,3,FALSE))/100*Z17</f>
        <v>0</v>
      </c>
      <c r="AB17" s="687">
        <f>VLOOKUP(Y17,Düngemittel!$B$6:$E$64,2,FALSE)*Z17</f>
        <v>0</v>
      </c>
      <c r="AC17" s="687">
        <f>VLOOKUP(Y17,Düngemittel!$B$6:$E$64,4,FALSE)*Z17</f>
        <v>0</v>
      </c>
      <c r="AE17" s="886"/>
      <c r="AF17" s="887" t="s">
        <v>805</v>
      </c>
      <c r="AG17" s="906">
        <v>0</v>
      </c>
      <c r="AH17" s="687">
        <f>VLOOKUP(AF17,Düngemittel!$B$6:$E$64,2,FALSE)*(VLOOKUP(AF17,Düngemittel!$B$6:$E$64,3,FALSE))/100*AG17</f>
        <v>0</v>
      </c>
      <c r="AI17" s="687">
        <f>VLOOKUP(AF17,Düngemittel!$B$6:$E$64,2,FALSE)*AG17</f>
        <v>0</v>
      </c>
      <c r="AJ17" s="687">
        <f>VLOOKUP(AF17,Düngemittel!$B$6:$E$64,4,FALSE)*AG17</f>
        <v>0</v>
      </c>
      <c r="AL17" s="886"/>
      <c r="AM17" s="887" t="s">
        <v>805</v>
      </c>
      <c r="AN17" s="906">
        <v>0</v>
      </c>
      <c r="AO17" s="687">
        <f>VLOOKUP(AM17,Düngemittel!$B$6:$E$64,2,FALSE)*(VLOOKUP(AM17,Düngemittel!$B$6:$E$64,3,FALSE))/100*AN17</f>
        <v>0</v>
      </c>
      <c r="AP17" s="687">
        <f>VLOOKUP(AM17,Düngemittel!$B$6:$E$64,2,FALSE)*AN17</f>
        <v>0</v>
      </c>
      <c r="AQ17" s="687">
        <f>VLOOKUP(AM17,Düngemittel!$B$6:$E$64,4,FALSE)*AN17</f>
        <v>0</v>
      </c>
      <c r="AS17" s="886"/>
      <c r="AT17" s="887" t="s">
        <v>805</v>
      </c>
      <c r="AU17" s="906">
        <v>0</v>
      </c>
      <c r="AV17" s="687">
        <f>VLOOKUP(AT17,Düngemittel!$B$6:$E$64,2,FALSE)*(VLOOKUP(AT17,Düngemittel!$B$6:$E$64,3,FALSE))/100*AU17</f>
        <v>0</v>
      </c>
      <c r="AW17" s="687">
        <f>VLOOKUP(AT17,Düngemittel!$B$6:$E$64,2,FALSE)*AU17</f>
        <v>0</v>
      </c>
      <c r="AX17" s="687">
        <f>VLOOKUP(AT17,Düngemittel!$B$6:$E$64,4,FALSE)*AU17</f>
        <v>0</v>
      </c>
      <c r="AZ17" s="886"/>
      <c r="BA17" s="887" t="s">
        <v>805</v>
      </c>
      <c r="BB17" s="906">
        <v>0</v>
      </c>
      <c r="BC17" s="687">
        <f>VLOOKUP(BA17,Düngemittel!$B$6:$E$64,2,FALSE)*(VLOOKUP(BA17,Düngemittel!$B$6:$E$64,3,FALSE))/100*BB17</f>
        <v>0</v>
      </c>
      <c r="BD17" s="687">
        <f>VLOOKUP(BA17,Düngemittel!$B$6:$E$64,2,FALSE)*BB17</f>
        <v>0</v>
      </c>
      <c r="BE17" s="687">
        <f>VLOOKUP(BA17,Düngemittel!$B$6:$E$64,4,FALSE)*BB17</f>
        <v>0</v>
      </c>
      <c r="BG17" s="853">
        <f t="shared" si="17"/>
        <v>0</v>
      </c>
      <c r="BH17" s="308">
        <f t="shared" si="18"/>
        <v>0</v>
      </c>
      <c r="BI17" s="853">
        <f t="shared" si="18"/>
        <v>0</v>
      </c>
      <c r="BJ17" s="777">
        <f t="shared" si="19"/>
        <v>0</v>
      </c>
      <c r="BK17" s="308">
        <f t="shared" si="20"/>
        <v>0</v>
      </c>
      <c r="BL17" s="83"/>
      <c r="BM17" s="686">
        <f t="shared" si="21"/>
        <v>0</v>
      </c>
      <c r="BN17" s="686">
        <f t="shared" si="10"/>
        <v>0</v>
      </c>
      <c r="BO17" s="686">
        <f t="shared" si="10"/>
        <v>0</v>
      </c>
      <c r="BP17" s="686">
        <f t="shared" si="10"/>
        <v>0</v>
      </c>
      <c r="BQ17" s="686">
        <f t="shared" si="10"/>
        <v>0</v>
      </c>
      <c r="BT17" s="351">
        <f t="shared" si="11"/>
        <v>0</v>
      </c>
      <c r="BU17" s="351">
        <f t="shared" si="12"/>
        <v>0</v>
      </c>
      <c r="BW17" s="580" t="s">
        <v>769</v>
      </c>
      <c r="BX17" s="580">
        <v>550</v>
      </c>
      <c r="BY17" s="580">
        <v>200</v>
      </c>
      <c r="BZ17" s="580">
        <v>0.2</v>
      </c>
      <c r="CA17" s="580">
        <v>0.3</v>
      </c>
      <c r="CB17" s="591">
        <v>60</v>
      </c>
      <c r="CC17" s="393">
        <v>0.12</v>
      </c>
      <c r="CD17" s="352">
        <f t="shared" si="0"/>
        <v>66</v>
      </c>
      <c r="CE17" s="9"/>
      <c r="CF17" s="3"/>
    </row>
    <row r="18" spans="1:84" ht="26.25" customHeight="1" x14ac:dyDescent="0.25">
      <c r="A18" s="342"/>
      <c r="B18" s="1215"/>
      <c r="C18" s="600" t="s">
        <v>31</v>
      </c>
      <c r="D18" s="408">
        <f t="shared" si="1"/>
        <v>0</v>
      </c>
      <c r="E18" s="427">
        <f t="shared" si="2"/>
        <v>0</v>
      </c>
      <c r="F18" s="1206"/>
      <c r="G18" s="413">
        <f t="shared" si="3"/>
        <v>0</v>
      </c>
      <c r="H18" s="602" t="s">
        <v>510</v>
      </c>
      <c r="I18" s="427">
        <f t="shared" si="4"/>
        <v>0</v>
      </c>
      <c r="J18" s="430" t="s">
        <v>31</v>
      </c>
      <c r="K18" s="606">
        <f t="shared" si="5"/>
        <v>0</v>
      </c>
      <c r="L18" s="408">
        <f t="shared" si="6"/>
        <v>0</v>
      </c>
      <c r="M18" s="1209"/>
      <c r="N18" s="450" t="s">
        <v>160</v>
      </c>
      <c r="O18" s="427">
        <f t="shared" si="7"/>
        <v>0</v>
      </c>
      <c r="P18" s="1212"/>
      <c r="Q18" s="747">
        <f t="shared" si="13"/>
        <v>0</v>
      </c>
      <c r="R18" s="608">
        <f t="shared" si="8"/>
        <v>0</v>
      </c>
      <c r="S18" s="479">
        <f t="shared" si="9"/>
        <v>0</v>
      </c>
      <c r="T18" s="435">
        <f t="shared" si="14"/>
        <v>0</v>
      </c>
      <c r="V18" s="852">
        <f t="shared" si="15"/>
        <v>0</v>
      </c>
      <c r="W18" s="852" t="str">
        <f t="shared" si="16"/>
        <v>keine</v>
      </c>
      <c r="X18" s="886"/>
      <c r="Y18" s="887" t="s">
        <v>805</v>
      </c>
      <c r="Z18" s="906">
        <v>0</v>
      </c>
      <c r="AA18" s="687">
        <f>VLOOKUP(Y18,Düngemittel!$B$6:$E$64,2,FALSE)*(VLOOKUP(Y18,Düngemittel!$B$6:$E$64,3,FALSE))/100*Z18</f>
        <v>0</v>
      </c>
      <c r="AB18" s="687">
        <f>VLOOKUP(Y18,Düngemittel!$B$6:$E$64,2,FALSE)*Z18</f>
        <v>0</v>
      </c>
      <c r="AC18" s="687">
        <f>VLOOKUP(Y18,Düngemittel!$B$6:$E$64,4,FALSE)*Z18</f>
        <v>0</v>
      </c>
      <c r="AE18" s="886"/>
      <c r="AF18" s="887" t="s">
        <v>805</v>
      </c>
      <c r="AG18" s="906">
        <v>0</v>
      </c>
      <c r="AH18" s="687">
        <f>VLOOKUP(AF18,Düngemittel!$B$6:$E$64,2,FALSE)*(VLOOKUP(AF18,Düngemittel!$B$6:$E$64,3,FALSE))/100*AG18</f>
        <v>0</v>
      </c>
      <c r="AI18" s="687">
        <f>VLOOKUP(AF18,Düngemittel!$B$6:$E$64,2,FALSE)*AG18</f>
        <v>0</v>
      </c>
      <c r="AJ18" s="687">
        <f>VLOOKUP(AF18,Düngemittel!$B$6:$E$64,4,FALSE)*AG18</f>
        <v>0</v>
      </c>
      <c r="AL18" s="886"/>
      <c r="AM18" s="887" t="s">
        <v>805</v>
      </c>
      <c r="AN18" s="906">
        <v>0</v>
      </c>
      <c r="AO18" s="687">
        <f>VLOOKUP(AM18,Düngemittel!$B$6:$E$64,2,FALSE)*(VLOOKUP(AM18,Düngemittel!$B$6:$E$64,3,FALSE))/100*AN18</f>
        <v>0</v>
      </c>
      <c r="AP18" s="687">
        <f>VLOOKUP(AM18,Düngemittel!$B$6:$E$64,2,FALSE)*AN18</f>
        <v>0</v>
      </c>
      <c r="AQ18" s="687">
        <f>VLOOKUP(AM18,Düngemittel!$B$6:$E$64,4,FALSE)*AN18</f>
        <v>0</v>
      </c>
      <c r="AS18" s="886"/>
      <c r="AT18" s="887" t="s">
        <v>805</v>
      </c>
      <c r="AU18" s="906">
        <v>0</v>
      </c>
      <c r="AV18" s="687">
        <f>VLOOKUP(AT18,Düngemittel!$B$6:$E$64,2,FALSE)*(VLOOKUP(AT18,Düngemittel!$B$6:$E$64,3,FALSE))/100*AU18</f>
        <v>0</v>
      </c>
      <c r="AW18" s="687">
        <f>VLOOKUP(AT18,Düngemittel!$B$6:$E$64,2,FALSE)*AU18</f>
        <v>0</v>
      </c>
      <c r="AX18" s="687">
        <f>VLOOKUP(AT18,Düngemittel!$B$6:$E$64,4,FALSE)*AU18</f>
        <v>0</v>
      </c>
      <c r="AZ18" s="886"/>
      <c r="BA18" s="887" t="s">
        <v>805</v>
      </c>
      <c r="BB18" s="906">
        <v>0</v>
      </c>
      <c r="BC18" s="687">
        <f>VLOOKUP(BA18,Düngemittel!$B$6:$E$64,2,FALSE)*(VLOOKUP(BA18,Düngemittel!$B$6:$E$64,3,FALSE))/100*BB18</f>
        <v>0</v>
      </c>
      <c r="BD18" s="687">
        <f>VLOOKUP(BA18,Düngemittel!$B$6:$E$64,2,FALSE)*BB18</f>
        <v>0</v>
      </c>
      <c r="BE18" s="687">
        <f>VLOOKUP(BA18,Düngemittel!$B$6:$E$64,4,FALSE)*BB18</f>
        <v>0</v>
      </c>
      <c r="BG18" s="853">
        <f t="shared" si="17"/>
        <v>0</v>
      </c>
      <c r="BH18" s="308">
        <f t="shared" si="18"/>
        <v>0</v>
      </c>
      <c r="BI18" s="853">
        <f t="shared" si="18"/>
        <v>0</v>
      </c>
      <c r="BJ18" s="777">
        <f t="shared" si="19"/>
        <v>0</v>
      </c>
      <c r="BK18" s="308">
        <f t="shared" si="20"/>
        <v>0</v>
      </c>
      <c r="BL18" s="83"/>
      <c r="BM18" s="686">
        <f t="shared" si="21"/>
        <v>0</v>
      </c>
      <c r="BN18" s="686">
        <f t="shared" si="10"/>
        <v>0</v>
      </c>
      <c r="BO18" s="686">
        <f t="shared" si="10"/>
        <v>0</v>
      </c>
      <c r="BP18" s="686">
        <f t="shared" si="10"/>
        <v>0</v>
      </c>
      <c r="BQ18" s="686">
        <f t="shared" si="10"/>
        <v>0</v>
      </c>
      <c r="BT18" s="351">
        <f t="shared" si="11"/>
        <v>0</v>
      </c>
      <c r="BU18" s="351">
        <f t="shared" si="12"/>
        <v>0</v>
      </c>
      <c r="BW18" s="124" t="s">
        <v>224</v>
      </c>
      <c r="BX18" s="124">
        <v>450</v>
      </c>
      <c r="BY18" s="124">
        <v>180</v>
      </c>
      <c r="BZ18" s="593">
        <v>0.2</v>
      </c>
      <c r="CA18" s="593">
        <v>0.2</v>
      </c>
      <c r="CB18" s="641">
        <v>60</v>
      </c>
      <c r="CC18" s="393">
        <v>0.14000000000000001</v>
      </c>
      <c r="CD18" s="352">
        <f t="shared" si="0"/>
        <v>63.000000000000007</v>
      </c>
      <c r="CE18" s="9"/>
      <c r="CF18" s="3"/>
    </row>
    <row r="19" spans="1:84" ht="26.25" customHeight="1" x14ac:dyDescent="0.25">
      <c r="A19" s="342"/>
      <c r="B19" s="1215"/>
      <c r="C19" s="600" t="s">
        <v>31</v>
      </c>
      <c r="D19" s="408">
        <f t="shared" si="1"/>
        <v>0</v>
      </c>
      <c r="E19" s="427">
        <f t="shared" si="2"/>
        <v>0</v>
      </c>
      <c r="F19" s="1206"/>
      <c r="G19" s="413">
        <f t="shared" si="3"/>
        <v>0</v>
      </c>
      <c r="H19" s="602" t="s">
        <v>510</v>
      </c>
      <c r="I19" s="427">
        <f t="shared" si="4"/>
        <v>0</v>
      </c>
      <c r="J19" s="430" t="s">
        <v>31</v>
      </c>
      <c r="K19" s="606">
        <f t="shared" si="5"/>
        <v>0</v>
      </c>
      <c r="L19" s="408">
        <f t="shared" si="6"/>
        <v>0</v>
      </c>
      <c r="M19" s="1209"/>
      <c r="N19" s="450" t="s">
        <v>160</v>
      </c>
      <c r="O19" s="427">
        <f t="shared" si="7"/>
        <v>0</v>
      </c>
      <c r="P19" s="1212"/>
      <c r="Q19" s="747">
        <f t="shared" si="13"/>
        <v>0</v>
      </c>
      <c r="R19" s="608">
        <f t="shared" si="8"/>
        <v>0</v>
      </c>
      <c r="S19" s="479">
        <f t="shared" si="9"/>
        <v>0</v>
      </c>
      <c r="T19" s="435">
        <f t="shared" si="14"/>
        <v>0</v>
      </c>
      <c r="V19" s="852">
        <f t="shared" si="15"/>
        <v>0</v>
      </c>
      <c r="W19" s="852" t="str">
        <f t="shared" si="16"/>
        <v>keine</v>
      </c>
      <c r="X19" s="886"/>
      <c r="Y19" s="887" t="s">
        <v>805</v>
      </c>
      <c r="Z19" s="906">
        <v>0</v>
      </c>
      <c r="AA19" s="687">
        <f>VLOOKUP(Y19,Düngemittel!$B$6:$E$64,2,FALSE)*(VLOOKUP(Y19,Düngemittel!$B$6:$E$64,3,FALSE))/100*Z19</f>
        <v>0</v>
      </c>
      <c r="AB19" s="687">
        <f>VLOOKUP(Y19,Düngemittel!$B$6:$E$64,2,FALSE)*Z19</f>
        <v>0</v>
      </c>
      <c r="AC19" s="687">
        <f>VLOOKUP(Y19,Düngemittel!$B$6:$E$64,4,FALSE)*Z19</f>
        <v>0</v>
      </c>
      <c r="AE19" s="886"/>
      <c r="AF19" s="887" t="s">
        <v>805</v>
      </c>
      <c r="AG19" s="906">
        <v>0</v>
      </c>
      <c r="AH19" s="687">
        <f>VLOOKUP(AF19,Düngemittel!$B$6:$E$64,2,FALSE)*(VLOOKUP(AF19,Düngemittel!$B$6:$E$64,3,FALSE))/100*AG19</f>
        <v>0</v>
      </c>
      <c r="AI19" s="687">
        <f>VLOOKUP(AF19,Düngemittel!$B$6:$E$64,2,FALSE)*AG19</f>
        <v>0</v>
      </c>
      <c r="AJ19" s="687">
        <f>VLOOKUP(AF19,Düngemittel!$B$6:$E$64,4,FALSE)*AG19</f>
        <v>0</v>
      </c>
      <c r="AL19" s="886"/>
      <c r="AM19" s="887" t="s">
        <v>805</v>
      </c>
      <c r="AN19" s="906">
        <v>0</v>
      </c>
      <c r="AO19" s="687">
        <f>VLOOKUP(AM19,Düngemittel!$B$6:$E$64,2,FALSE)*(VLOOKUP(AM19,Düngemittel!$B$6:$E$64,3,FALSE))/100*AN19</f>
        <v>0</v>
      </c>
      <c r="AP19" s="687">
        <f>VLOOKUP(AM19,Düngemittel!$B$6:$E$64,2,FALSE)*AN19</f>
        <v>0</v>
      </c>
      <c r="AQ19" s="687">
        <f>VLOOKUP(AM19,Düngemittel!$B$6:$E$64,4,FALSE)*AN19</f>
        <v>0</v>
      </c>
      <c r="AS19" s="886"/>
      <c r="AT19" s="887" t="s">
        <v>805</v>
      </c>
      <c r="AU19" s="906">
        <v>0</v>
      </c>
      <c r="AV19" s="687">
        <f>VLOOKUP(AT19,Düngemittel!$B$6:$E$64,2,FALSE)*(VLOOKUP(AT19,Düngemittel!$B$6:$E$64,3,FALSE))/100*AU19</f>
        <v>0</v>
      </c>
      <c r="AW19" s="687">
        <f>VLOOKUP(AT19,Düngemittel!$B$6:$E$64,2,FALSE)*AU19</f>
        <v>0</v>
      </c>
      <c r="AX19" s="687">
        <f>VLOOKUP(AT19,Düngemittel!$B$6:$E$64,4,FALSE)*AU19</f>
        <v>0</v>
      </c>
      <c r="AZ19" s="886"/>
      <c r="BA19" s="887" t="s">
        <v>805</v>
      </c>
      <c r="BB19" s="906">
        <v>0</v>
      </c>
      <c r="BC19" s="687">
        <f>VLOOKUP(BA19,Düngemittel!$B$6:$E$64,2,FALSE)*(VLOOKUP(BA19,Düngemittel!$B$6:$E$64,3,FALSE))/100*BB19</f>
        <v>0</v>
      </c>
      <c r="BD19" s="687">
        <f>VLOOKUP(BA19,Düngemittel!$B$6:$E$64,2,FALSE)*BB19</f>
        <v>0</v>
      </c>
      <c r="BE19" s="687">
        <f>VLOOKUP(BA19,Düngemittel!$B$6:$E$64,4,FALSE)*BB19</f>
        <v>0</v>
      </c>
      <c r="BG19" s="853">
        <f t="shared" si="17"/>
        <v>0</v>
      </c>
      <c r="BH19" s="308">
        <f t="shared" si="18"/>
        <v>0</v>
      </c>
      <c r="BI19" s="853">
        <f t="shared" si="18"/>
        <v>0</v>
      </c>
      <c r="BJ19" s="777">
        <f t="shared" si="19"/>
        <v>0</v>
      </c>
      <c r="BK19" s="308">
        <f t="shared" si="20"/>
        <v>0</v>
      </c>
      <c r="BL19" s="83"/>
      <c r="BM19" s="686">
        <f t="shared" si="21"/>
        <v>0</v>
      </c>
      <c r="BN19" s="686">
        <f t="shared" si="10"/>
        <v>0</v>
      </c>
      <c r="BO19" s="686">
        <f t="shared" si="10"/>
        <v>0</v>
      </c>
      <c r="BP19" s="686">
        <f t="shared" si="10"/>
        <v>0</v>
      </c>
      <c r="BQ19" s="686">
        <f t="shared" si="10"/>
        <v>0</v>
      </c>
      <c r="BT19" s="351">
        <f t="shared" si="11"/>
        <v>0</v>
      </c>
      <c r="BU19" s="351">
        <f t="shared" si="12"/>
        <v>0</v>
      </c>
      <c r="BW19" s="124" t="s">
        <v>31</v>
      </c>
      <c r="BX19" s="124">
        <v>0</v>
      </c>
      <c r="BY19" s="124">
        <v>0</v>
      </c>
      <c r="BZ19" s="124">
        <v>0</v>
      </c>
      <c r="CA19" s="124">
        <v>0</v>
      </c>
      <c r="CB19" s="641">
        <v>0</v>
      </c>
      <c r="CC19" s="393">
        <v>0</v>
      </c>
      <c r="CD19" s="352">
        <f t="shared" si="0"/>
        <v>0</v>
      </c>
      <c r="CE19" s="9"/>
      <c r="CF19" s="3"/>
    </row>
    <row r="20" spans="1:84" ht="26.25" customHeight="1" x14ac:dyDescent="0.25">
      <c r="A20" s="342"/>
      <c r="B20" s="1215"/>
      <c r="C20" s="600" t="s">
        <v>31</v>
      </c>
      <c r="D20" s="408">
        <f t="shared" si="1"/>
        <v>0</v>
      </c>
      <c r="E20" s="427">
        <f t="shared" si="2"/>
        <v>0</v>
      </c>
      <c r="F20" s="1206"/>
      <c r="G20" s="413">
        <f t="shared" si="3"/>
        <v>0</v>
      </c>
      <c r="H20" s="602" t="s">
        <v>510</v>
      </c>
      <c r="I20" s="427">
        <f t="shared" si="4"/>
        <v>0</v>
      </c>
      <c r="J20" s="430" t="s">
        <v>31</v>
      </c>
      <c r="K20" s="606">
        <f t="shared" si="5"/>
        <v>0</v>
      </c>
      <c r="L20" s="408">
        <f t="shared" si="6"/>
        <v>0</v>
      </c>
      <c r="M20" s="1209"/>
      <c r="N20" s="450" t="s">
        <v>160</v>
      </c>
      <c r="O20" s="427">
        <f t="shared" si="7"/>
        <v>0</v>
      </c>
      <c r="P20" s="1212"/>
      <c r="Q20" s="747">
        <f t="shared" si="13"/>
        <v>0</v>
      </c>
      <c r="R20" s="608">
        <f t="shared" si="8"/>
        <v>0</v>
      </c>
      <c r="S20" s="479">
        <f t="shared" si="9"/>
        <v>0</v>
      </c>
      <c r="T20" s="435">
        <f t="shared" si="14"/>
        <v>0</v>
      </c>
      <c r="V20" s="852">
        <f t="shared" si="15"/>
        <v>0</v>
      </c>
      <c r="W20" s="852" t="str">
        <f t="shared" si="16"/>
        <v>keine</v>
      </c>
      <c r="X20" s="886"/>
      <c r="Y20" s="887" t="s">
        <v>805</v>
      </c>
      <c r="Z20" s="906">
        <v>0</v>
      </c>
      <c r="AA20" s="687">
        <f>VLOOKUP(Y20,Düngemittel!$B$6:$E$64,2,FALSE)*(VLOOKUP(Y20,Düngemittel!$B$6:$E$64,3,FALSE))/100*Z20</f>
        <v>0</v>
      </c>
      <c r="AB20" s="687">
        <f>VLOOKUP(Y20,Düngemittel!$B$6:$E$64,2,FALSE)*Z20</f>
        <v>0</v>
      </c>
      <c r="AC20" s="687">
        <f>VLOOKUP(Y20,Düngemittel!$B$6:$E$64,4,FALSE)*Z20</f>
        <v>0</v>
      </c>
      <c r="AE20" s="886"/>
      <c r="AF20" s="887" t="s">
        <v>805</v>
      </c>
      <c r="AG20" s="906">
        <v>0</v>
      </c>
      <c r="AH20" s="687">
        <f>VLOOKUP(AF20,Düngemittel!$B$6:$E$64,2,FALSE)*(VLOOKUP(AF20,Düngemittel!$B$6:$E$64,3,FALSE))/100*AG20</f>
        <v>0</v>
      </c>
      <c r="AI20" s="687">
        <f>VLOOKUP(AF20,Düngemittel!$B$6:$E$64,2,FALSE)*AG20</f>
        <v>0</v>
      </c>
      <c r="AJ20" s="687">
        <f>VLOOKUP(AF20,Düngemittel!$B$6:$E$64,4,FALSE)*AG20</f>
        <v>0</v>
      </c>
      <c r="AL20" s="886"/>
      <c r="AM20" s="887" t="s">
        <v>805</v>
      </c>
      <c r="AN20" s="906">
        <v>0</v>
      </c>
      <c r="AO20" s="687">
        <f>VLOOKUP(AM20,Düngemittel!$B$6:$E$64,2,FALSE)*(VLOOKUP(AM20,Düngemittel!$B$6:$E$64,3,FALSE))/100*AN20</f>
        <v>0</v>
      </c>
      <c r="AP20" s="687">
        <f>VLOOKUP(AM20,Düngemittel!$B$6:$E$64,2,FALSE)*AN20</f>
        <v>0</v>
      </c>
      <c r="AQ20" s="687">
        <f>VLOOKUP(AM20,Düngemittel!$B$6:$E$64,4,FALSE)*AN20</f>
        <v>0</v>
      </c>
      <c r="AS20" s="886"/>
      <c r="AT20" s="887" t="s">
        <v>805</v>
      </c>
      <c r="AU20" s="906">
        <v>0</v>
      </c>
      <c r="AV20" s="687">
        <f>VLOOKUP(AT20,Düngemittel!$B$6:$E$64,2,FALSE)*(VLOOKUP(AT20,Düngemittel!$B$6:$E$64,3,FALSE))/100*AU20</f>
        <v>0</v>
      </c>
      <c r="AW20" s="687">
        <f>VLOOKUP(AT20,Düngemittel!$B$6:$E$64,2,FALSE)*AU20</f>
        <v>0</v>
      </c>
      <c r="AX20" s="687">
        <f>VLOOKUP(AT20,Düngemittel!$B$6:$E$64,4,FALSE)*AU20</f>
        <v>0</v>
      </c>
      <c r="AZ20" s="886"/>
      <c r="BA20" s="887" t="s">
        <v>805</v>
      </c>
      <c r="BB20" s="906">
        <v>0</v>
      </c>
      <c r="BC20" s="687">
        <f>VLOOKUP(BA20,Düngemittel!$B$6:$E$64,2,FALSE)*(VLOOKUP(BA20,Düngemittel!$B$6:$E$64,3,FALSE))/100*BB20</f>
        <v>0</v>
      </c>
      <c r="BD20" s="687">
        <f>VLOOKUP(BA20,Düngemittel!$B$6:$E$64,2,FALSE)*BB20</f>
        <v>0</v>
      </c>
      <c r="BE20" s="687">
        <f>VLOOKUP(BA20,Düngemittel!$B$6:$E$64,4,FALSE)*BB20</f>
        <v>0</v>
      </c>
      <c r="BG20" s="853">
        <f t="shared" si="17"/>
        <v>0</v>
      </c>
      <c r="BH20" s="308">
        <f t="shared" si="18"/>
        <v>0</v>
      </c>
      <c r="BI20" s="853">
        <f t="shared" si="18"/>
        <v>0</v>
      </c>
      <c r="BJ20" s="777">
        <f t="shared" si="19"/>
        <v>0</v>
      </c>
      <c r="BK20" s="308">
        <f t="shared" si="20"/>
        <v>0</v>
      </c>
      <c r="BL20" s="83"/>
      <c r="BM20" s="686">
        <f t="shared" si="21"/>
        <v>0</v>
      </c>
      <c r="BN20" s="686">
        <f t="shared" si="10"/>
        <v>0</v>
      </c>
      <c r="BO20" s="686">
        <f t="shared" si="10"/>
        <v>0</v>
      </c>
      <c r="BP20" s="686">
        <f t="shared" si="10"/>
        <v>0</v>
      </c>
      <c r="BQ20" s="686">
        <f t="shared" si="10"/>
        <v>0</v>
      </c>
      <c r="BT20" s="351">
        <f t="shared" si="11"/>
        <v>0</v>
      </c>
      <c r="BU20" s="351">
        <f t="shared" si="12"/>
        <v>0</v>
      </c>
      <c r="BW20" s="240" t="s">
        <v>689</v>
      </c>
      <c r="BX20" s="240">
        <v>250</v>
      </c>
      <c r="BY20" s="240">
        <v>185</v>
      </c>
      <c r="BZ20" s="240">
        <v>0.2</v>
      </c>
      <c r="CA20" s="240">
        <v>0.3</v>
      </c>
      <c r="CB20" s="641">
        <v>60</v>
      </c>
      <c r="CC20" s="393">
        <v>0.2</v>
      </c>
      <c r="CD20" s="352">
        <f t="shared" si="0"/>
        <v>50</v>
      </c>
      <c r="CE20" s="9"/>
      <c r="CF20" s="3"/>
    </row>
    <row r="21" spans="1:84" ht="26.25" customHeight="1" x14ac:dyDescent="0.25">
      <c r="A21" s="342"/>
      <c r="B21" s="1215"/>
      <c r="C21" s="600" t="s">
        <v>31</v>
      </c>
      <c r="D21" s="408">
        <f t="shared" si="1"/>
        <v>0</v>
      </c>
      <c r="E21" s="427">
        <f t="shared" si="2"/>
        <v>0</v>
      </c>
      <c r="F21" s="1206"/>
      <c r="G21" s="413">
        <f t="shared" si="3"/>
        <v>0</v>
      </c>
      <c r="H21" s="602" t="s">
        <v>510</v>
      </c>
      <c r="I21" s="427">
        <f t="shared" si="4"/>
        <v>0</v>
      </c>
      <c r="J21" s="430" t="s">
        <v>31</v>
      </c>
      <c r="K21" s="606">
        <f t="shared" si="5"/>
        <v>0</v>
      </c>
      <c r="L21" s="408">
        <f t="shared" si="6"/>
        <v>0</v>
      </c>
      <c r="M21" s="1209"/>
      <c r="N21" s="450" t="s">
        <v>160</v>
      </c>
      <c r="O21" s="427">
        <f t="shared" si="7"/>
        <v>0</v>
      </c>
      <c r="P21" s="1212"/>
      <c r="Q21" s="747">
        <f t="shared" si="13"/>
        <v>0</v>
      </c>
      <c r="R21" s="608">
        <f t="shared" si="8"/>
        <v>0</v>
      </c>
      <c r="S21" s="479">
        <f t="shared" si="9"/>
        <v>0</v>
      </c>
      <c r="T21" s="435">
        <f t="shared" si="14"/>
        <v>0</v>
      </c>
      <c r="V21" s="852">
        <f t="shared" si="15"/>
        <v>0</v>
      </c>
      <c r="W21" s="852" t="str">
        <f t="shared" si="16"/>
        <v>keine</v>
      </c>
      <c r="X21" s="886"/>
      <c r="Y21" s="887" t="s">
        <v>805</v>
      </c>
      <c r="Z21" s="906">
        <v>0</v>
      </c>
      <c r="AA21" s="687">
        <f>VLOOKUP(Y21,Düngemittel!$B$6:$E$64,2,FALSE)*(VLOOKUP(Y21,Düngemittel!$B$6:$E$64,3,FALSE))/100*Z21</f>
        <v>0</v>
      </c>
      <c r="AB21" s="687">
        <f>VLOOKUP(Y21,Düngemittel!$B$6:$E$64,2,FALSE)*Z21</f>
        <v>0</v>
      </c>
      <c r="AC21" s="687">
        <f>VLOOKUP(Y21,Düngemittel!$B$6:$E$64,4,FALSE)*Z21</f>
        <v>0</v>
      </c>
      <c r="AE21" s="886"/>
      <c r="AF21" s="887" t="s">
        <v>805</v>
      </c>
      <c r="AG21" s="906">
        <v>0</v>
      </c>
      <c r="AH21" s="687">
        <f>VLOOKUP(AF21,Düngemittel!$B$6:$E$64,2,FALSE)*(VLOOKUP(AF21,Düngemittel!$B$6:$E$64,3,FALSE))/100*AG21</f>
        <v>0</v>
      </c>
      <c r="AI21" s="687">
        <f>VLOOKUP(AF21,Düngemittel!$B$6:$E$64,2,FALSE)*AG21</f>
        <v>0</v>
      </c>
      <c r="AJ21" s="687">
        <f>VLOOKUP(AF21,Düngemittel!$B$6:$E$64,4,FALSE)*AG21</f>
        <v>0</v>
      </c>
      <c r="AL21" s="886"/>
      <c r="AM21" s="887" t="s">
        <v>805</v>
      </c>
      <c r="AN21" s="906">
        <v>0</v>
      </c>
      <c r="AO21" s="687">
        <f>VLOOKUP(AM21,Düngemittel!$B$6:$E$64,2,FALSE)*(VLOOKUP(AM21,Düngemittel!$B$6:$E$64,3,FALSE))/100*AN21</f>
        <v>0</v>
      </c>
      <c r="AP21" s="687">
        <f>VLOOKUP(AM21,Düngemittel!$B$6:$E$64,2,FALSE)*AN21</f>
        <v>0</v>
      </c>
      <c r="AQ21" s="687">
        <f>VLOOKUP(AM21,Düngemittel!$B$6:$E$64,4,FALSE)*AN21</f>
        <v>0</v>
      </c>
      <c r="AS21" s="886"/>
      <c r="AT21" s="887" t="s">
        <v>805</v>
      </c>
      <c r="AU21" s="906">
        <v>0</v>
      </c>
      <c r="AV21" s="687">
        <f>VLOOKUP(AT21,Düngemittel!$B$6:$E$64,2,FALSE)*(VLOOKUP(AT21,Düngemittel!$B$6:$E$64,3,FALSE))/100*AU21</f>
        <v>0</v>
      </c>
      <c r="AW21" s="687">
        <f>VLOOKUP(AT21,Düngemittel!$B$6:$E$64,2,FALSE)*AU21</f>
        <v>0</v>
      </c>
      <c r="AX21" s="687">
        <f>VLOOKUP(AT21,Düngemittel!$B$6:$E$64,4,FALSE)*AU21</f>
        <v>0</v>
      </c>
      <c r="AZ21" s="886"/>
      <c r="BA21" s="887" t="s">
        <v>805</v>
      </c>
      <c r="BB21" s="906">
        <v>0</v>
      </c>
      <c r="BC21" s="687">
        <f>VLOOKUP(BA21,Düngemittel!$B$6:$E$64,2,FALSE)*(VLOOKUP(BA21,Düngemittel!$B$6:$E$64,3,FALSE))/100*BB21</f>
        <v>0</v>
      </c>
      <c r="BD21" s="687">
        <f>VLOOKUP(BA21,Düngemittel!$B$6:$E$64,2,FALSE)*BB21</f>
        <v>0</v>
      </c>
      <c r="BE21" s="687">
        <f>VLOOKUP(BA21,Düngemittel!$B$6:$E$64,4,FALSE)*BB21</f>
        <v>0</v>
      </c>
      <c r="BG21" s="853">
        <f t="shared" si="17"/>
        <v>0</v>
      </c>
      <c r="BH21" s="308">
        <f t="shared" si="18"/>
        <v>0</v>
      </c>
      <c r="BI21" s="853">
        <f t="shared" si="18"/>
        <v>0</v>
      </c>
      <c r="BJ21" s="777">
        <f t="shared" si="19"/>
        <v>0</v>
      </c>
      <c r="BK21" s="308">
        <f t="shared" si="20"/>
        <v>0</v>
      </c>
      <c r="BL21" s="83"/>
      <c r="BM21" s="686">
        <f t="shared" si="21"/>
        <v>0</v>
      </c>
      <c r="BN21" s="686">
        <f t="shared" si="10"/>
        <v>0</v>
      </c>
      <c r="BO21" s="686">
        <f t="shared" si="10"/>
        <v>0</v>
      </c>
      <c r="BP21" s="686">
        <f t="shared" si="10"/>
        <v>0</v>
      </c>
      <c r="BQ21" s="686">
        <f t="shared" si="10"/>
        <v>0</v>
      </c>
      <c r="BT21" s="351">
        <f t="shared" si="11"/>
        <v>0</v>
      </c>
      <c r="BU21" s="351">
        <f t="shared" si="12"/>
        <v>0</v>
      </c>
      <c r="BW21" s="580" t="s">
        <v>761</v>
      </c>
      <c r="BX21" s="580">
        <v>50</v>
      </c>
      <c r="BY21" s="580">
        <v>130</v>
      </c>
      <c r="BZ21" s="580">
        <v>1</v>
      </c>
      <c r="CA21" s="580">
        <v>1.5</v>
      </c>
      <c r="CB21" s="641">
        <v>60</v>
      </c>
      <c r="CC21" s="393">
        <v>0.8</v>
      </c>
      <c r="CD21" s="352">
        <f t="shared" si="0"/>
        <v>40</v>
      </c>
      <c r="CE21" s="9"/>
      <c r="CF21" s="3"/>
    </row>
    <row r="22" spans="1:84" ht="26.25" customHeight="1" x14ac:dyDescent="0.25">
      <c r="A22" s="342"/>
      <c r="B22" s="1215"/>
      <c r="C22" s="600" t="s">
        <v>31</v>
      </c>
      <c r="D22" s="408">
        <f t="shared" si="1"/>
        <v>0</v>
      </c>
      <c r="E22" s="427">
        <f t="shared" si="2"/>
        <v>0</v>
      </c>
      <c r="F22" s="1206"/>
      <c r="G22" s="413">
        <f t="shared" si="3"/>
        <v>0</v>
      </c>
      <c r="H22" s="602" t="s">
        <v>510</v>
      </c>
      <c r="I22" s="427">
        <f t="shared" si="4"/>
        <v>0</v>
      </c>
      <c r="J22" s="430" t="s">
        <v>31</v>
      </c>
      <c r="K22" s="606">
        <f t="shared" si="5"/>
        <v>0</v>
      </c>
      <c r="L22" s="408">
        <f t="shared" si="6"/>
        <v>0</v>
      </c>
      <c r="M22" s="1209"/>
      <c r="N22" s="450" t="s">
        <v>160</v>
      </c>
      <c r="O22" s="427">
        <f t="shared" si="7"/>
        <v>0</v>
      </c>
      <c r="P22" s="1212"/>
      <c r="Q22" s="747">
        <f t="shared" si="13"/>
        <v>0</v>
      </c>
      <c r="R22" s="608">
        <f t="shared" si="8"/>
        <v>0</v>
      </c>
      <c r="S22" s="479">
        <f t="shared" si="9"/>
        <v>0</v>
      </c>
      <c r="T22" s="435">
        <f t="shared" si="14"/>
        <v>0</v>
      </c>
      <c r="V22" s="852">
        <f t="shared" si="15"/>
        <v>0</v>
      </c>
      <c r="W22" s="852" t="str">
        <f t="shared" si="16"/>
        <v>keine</v>
      </c>
      <c r="X22" s="886"/>
      <c r="Y22" s="887" t="s">
        <v>805</v>
      </c>
      <c r="Z22" s="906">
        <v>0</v>
      </c>
      <c r="AA22" s="687">
        <f>VLOOKUP(Y22,Düngemittel!$B$6:$E$64,2,FALSE)*(VLOOKUP(Y22,Düngemittel!$B$6:$E$64,3,FALSE))/100*Z22</f>
        <v>0</v>
      </c>
      <c r="AB22" s="687">
        <f>VLOOKUP(Y22,Düngemittel!$B$6:$E$64,2,FALSE)*Z22</f>
        <v>0</v>
      </c>
      <c r="AC22" s="687">
        <f>VLOOKUP(Y22,Düngemittel!$B$6:$E$64,4,FALSE)*Z22</f>
        <v>0</v>
      </c>
      <c r="AE22" s="886"/>
      <c r="AF22" s="887" t="s">
        <v>805</v>
      </c>
      <c r="AG22" s="906">
        <v>0</v>
      </c>
      <c r="AH22" s="687">
        <f>VLOOKUP(AF22,Düngemittel!$B$6:$E$64,2,FALSE)*(VLOOKUP(AF22,Düngemittel!$B$6:$E$64,3,FALSE))/100*AG22</f>
        <v>0</v>
      </c>
      <c r="AI22" s="687">
        <f>VLOOKUP(AF22,Düngemittel!$B$6:$E$64,2,FALSE)*AG22</f>
        <v>0</v>
      </c>
      <c r="AJ22" s="687">
        <f>VLOOKUP(AF22,Düngemittel!$B$6:$E$64,4,FALSE)*AG22</f>
        <v>0</v>
      </c>
      <c r="AL22" s="886"/>
      <c r="AM22" s="887" t="s">
        <v>805</v>
      </c>
      <c r="AN22" s="906">
        <v>0</v>
      </c>
      <c r="AO22" s="687">
        <f>VLOOKUP(AM22,Düngemittel!$B$6:$E$64,2,FALSE)*(VLOOKUP(AM22,Düngemittel!$B$6:$E$64,3,FALSE))/100*AN22</f>
        <v>0</v>
      </c>
      <c r="AP22" s="687">
        <f>VLOOKUP(AM22,Düngemittel!$B$6:$E$64,2,FALSE)*AN22</f>
        <v>0</v>
      </c>
      <c r="AQ22" s="687">
        <f>VLOOKUP(AM22,Düngemittel!$B$6:$E$64,4,FALSE)*AN22</f>
        <v>0</v>
      </c>
      <c r="AS22" s="886"/>
      <c r="AT22" s="887" t="s">
        <v>805</v>
      </c>
      <c r="AU22" s="906">
        <v>0</v>
      </c>
      <c r="AV22" s="687">
        <f>VLOOKUP(AT22,Düngemittel!$B$6:$E$64,2,FALSE)*(VLOOKUP(AT22,Düngemittel!$B$6:$E$64,3,FALSE))/100*AU22</f>
        <v>0</v>
      </c>
      <c r="AW22" s="687">
        <f>VLOOKUP(AT22,Düngemittel!$B$6:$E$64,2,FALSE)*AU22</f>
        <v>0</v>
      </c>
      <c r="AX22" s="687">
        <f>VLOOKUP(AT22,Düngemittel!$B$6:$E$64,4,FALSE)*AU22</f>
        <v>0</v>
      </c>
      <c r="AZ22" s="886"/>
      <c r="BA22" s="887" t="s">
        <v>805</v>
      </c>
      <c r="BB22" s="906">
        <v>0</v>
      </c>
      <c r="BC22" s="687">
        <f>VLOOKUP(BA22,Düngemittel!$B$6:$E$64,2,FALSE)*(VLOOKUP(BA22,Düngemittel!$B$6:$E$64,3,FALSE))/100*BB22</f>
        <v>0</v>
      </c>
      <c r="BD22" s="687">
        <f>VLOOKUP(BA22,Düngemittel!$B$6:$E$64,2,FALSE)*BB22</f>
        <v>0</v>
      </c>
      <c r="BE22" s="687">
        <f>VLOOKUP(BA22,Düngemittel!$B$6:$E$64,4,FALSE)*BB22</f>
        <v>0</v>
      </c>
      <c r="BG22" s="853">
        <f t="shared" si="17"/>
        <v>0</v>
      </c>
      <c r="BH22" s="308">
        <f t="shared" si="18"/>
        <v>0</v>
      </c>
      <c r="BI22" s="853">
        <f t="shared" si="18"/>
        <v>0</v>
      </c>
      <c r="BJ22" s="777">
        <f t="shared" si="19"/>
        <v>0</v>
      </c>
      <c r="BK22" s="308">
        <f t="shared" si="20"/>
        <v>0</v>
      </c>
      <c r="BL22" s="83"/>
      <c r="BM22" s="686">
        <f t="shared" si="21"/>
        <v>0</v>
      </c>
      <c r="BN22" s="686">
        <f t="shared" si="10"/>
        <v>0</v>
      </c>
      <c r="BO22" s="686">
        <f t="shared" si="10"/>
        <v>0</v>
      </c>
      <c r="BP22" s="686">
        <f t="shared" si="10"/>
        <v>0</v>
      </c>
      <c r="BQ22" s="686">
        <f t="shared" si="10"/>
        <v>0</v>
      </c>
      <c r="BT22" s="351">
        <f t="shared" si="11"/>
        <v>0</v>
      </c>
      <c r="BU22" s="351">
        <f t="shared" si="12"/>
        <v>0</v>
      </c>
      <c r="BW22" s="240" t="s">
        <v>704</v>
      </c>
      <c r="BX22" s="240">
        <v>40</v>
      </c>
      <c r="BY22" s="240">
        <v>60</v>
      </c>
      <c r="BZ22" s="240">
        <v>0</v>
      </c>
      <c r="CA22" s="240">
        <v>0</v>
      </c>
      <c r="CB22" s="393">
        <v>30</v>
      </c>
      <c r="CC22" s="393">
        <v>1.2</v>
      </c>
      <c r="CD22" s="352">
        <f t="shared" si="0"/>
        <v>48</v>
      </c>
      <c r="CE22" s="9"/>
      <c r="CF22" s="3"/>
    </row>
    <row r="23" spans="1:84" ht="26.25" customHeight="1" x14ac:dyDescent="0.25">
      <c r="A23" s="342"/>
      <c r="B23" s="1215"/>
      <c r="C23" s="600" t="s">
        <v>31</v>
      </c>
      <c r="D23" s="408">
        <f t="shared" si="1"/>
        <v>0</v>
      </c>
      <c r="E23" s="427">
        <f t="shared" si="2"/>
        <v>0</v>
      </c>
      <c r="F23" s="1206"/>
      <c r="G23" s="413">
        <f t="shared" si="3"/>
        <v>0</v>
      </c>
      <c r="H23" s="602" t="s">
        <v>510</v>
      </c>
      <c r="I23" s="427">
        <f t="shared" si="4"/>
        <v>0</v>
      </c>
      <c r="J23" s="430" t="s">
        <v>31</v>
      </c>
      <c r="K23" s="606">
        <f t="shared" si="5"/>
        <v>0</v>
      </c>
      <c r="L23" s="408">
        <f t="shared" si="6"/>
        <v>0</v>
      </c>
      <c r="M23" s="1209"/>
      <c r="N23" s="450" t="s">
        <v>160</v>
      </c>
      <c r="O23" s="427">
        <f t="shared" si="7"/>
        <v>0</v>
      </c>
      <c r="P23" s="1212"/>
      <c r="Q23" s="747">
        <f t="shared" si="13"/>
        <v>0</v>
      </c>
      <c r="R23" s="608">
        <f t="shared" si="8"/>
        <v>0</v>
      </c>
      <c r="S23" s="479">
        <f t="shared" si="9"/>
        <v>0</v>
      </c>
      <c r="T23" s="435">
        <f t="shared" si="14"/>
        <v>0</v>
      </c>
      <c r="V23" s="852">
        <f t="shared" si="15"/>
        <v>0</v>
      </c>
      <c r="W23" s="852" t="str">
        <f t="shared" si="16"/>
        <v>keine</v>
      </c>
      <c r="X23" s="886"/>
      <c r="Y23" s="887" t="s">
        <v>805</v>
      </c>
      <c r="Z23" s="906">
        <v>0</v>
      </c>
      <c r="AA23" s="687">
        <f>VLOOKUP(Y23,Düngemittel!$B$6:$E$64,2,FALSE)*(VLOOKUP(Y23,Düngemittel!$B$6:$E$64,3,FALSE))/100*Z23</f>
        <v>0</v>
      </c>
      <c r="AB23" s="687">
        <f>VLOOKUP(Y23,Düngemittel!$B$6:$E$64,2,FALSE)*Z23</f>
        <v>0</v>
      </c>
      <c r="AC23" s="687">
        <f>VLOOKUP(Y23,Düngemittel!$B$6:$E$64,4,FALSE)*Z23</f>
        <v>0</v>
      </c>
      <c r="AE23" s="886"/>
      <c r="AF23" s="887" t="s">
        <v>805</v>
      </c>
      <c r="AG23" s="906">
        <v>0</v>
      </c>
      <c r="AH23" s="687">
        <f>VLOOKUP(AF23,Düngemittel!$B$6:$E$64,2,FALSE)*(VLOOKUP(AF23,Düngemittel!$B$6:$E$64,3,FALSE))/100*AG23</f>
        <v>0</v>
      </c>
      <c r="AI23" s="687">
        <f>VLOOKUP(AF23,Düngemittel!$B$6:$E$64,2,FALSE)*AG23</f>
        <v>0</v>
      </c>
      <c r="AJ23" s="687">
        <f>VLOOKUP(AF23,Düngemittel!$B$6:$E$64,4,FALSE)*AG23</f>
        <v>0</v>
      </c>
      <c r="AL23" s="886"/>
      <c r="AM23" s="887" t="s">
        <v>805</v>
      </c>
      <c r="AN23" s="906">
        <v>0</v>
      </c>
      <c r="AO23" s="687">
        <f>VLOOKUP(AM23,Düngemittel!$B$6:$E$64,2,FALSE)*(VLOOKUP(AM23,Düngemittel!$B$6:$E$64,3,FALSE))/100*AN23</f>
        <v>0</v>
      </c>
      <c r="AP23" s="687">
        <f>VLOOKUP(AM23,Düngemittel!$B$6:$E$64,2,FALSE)*AN23</f>
        <v>0</v>
      </c>
      <c r="AQ23" s="687">
        <f>VLOOKUP(AM23,Düngemittel!$B$6:$E$64,4,FALSE)*AN23</f>
        <v>0</v>
      </c>
      <c r="AS23" s="886"/>
      <c r="AT23" s="887" t="s">
        <v>805</v>
      </c>
      <c r="AU23" s="906">
        <v>0</v>
      </c>
      <c r="AV23" s="687">
        <f>VLOOKUP(AT23,Düngemittel!$B$6:$E$64,2,FALSE)*(VLOOKUP(AT23,Düngemittel!$B$6:$E$64,3,FALSE))/100*AU23</f>
        <v>0</v>
      </c>
      <c r="AW23" s="687">
        <f>VLOOKUP(AT23,Düngemittel!$B$6:$E$64,2,FALSE)*AU23</f>
        <v>0</v>
      </c>
      <c r="AX23" s="687">
        <f>VLOOKUP(AT23,Düngemittel!$B$6:$E$64,4,FALSE)*AU23</f>
        <v>0</v>
      </c>
      <c r="AZ23" s="886"/>
      <c r="BA23" s="887" t="s">
        <v>805</v>
      </c>
      <c r="BB23" s="906">
        <v>0</v>
      </c>
      <c r="BC23" s="687">
        <f>VLOOKUP(BA23,Düngemittel!$B$6:$E$64,2,FALSE)*(VLOOKUP(BA23,Düngemittel!$B$6:$E$64,3,FALSE))/100*BB23</f>
        <v>0</v>
      </c>
      <c r="BD23" s="687">
        <f>VLOOKUP(BA23,Düngemittel!$B$6:$E$64,2,FALSE)*BB23</f>
        <v>0</v>
      </c>
      <c r="BE23" s="687">
        <f>VLOOKUP(BA23,Düngemittel!$B$6:$E$64,4,FALSE)*BB23</f>
        <v>0</v>
      </c>
      <c r="BG23" s="853">
        <f t="shared" si="17"/>
        <v>0</v>
      </c>
      <c r="BH23" s="308">
        <f t="shared" si="18"/>
        <v>0</v>
      </c>
      <c r="BI23" s="853">
        <f t="shared" si="18"/>
        <v>0</v>
      </c>
      <c r="BJ23" s="777">
        <f t="shared" si="19"/>
        <v>0</v>
      </c>
      <c r="BK23" s="308">
        <f t="shared" si="20"/>
        <v>0</v>
      </c>
      <c r="BL23" s="83"/>
      <c r="BM23" s="686">
        <f t="shared" si="21"/>
        <v>0</v>
      </c>
      <c r="BN23" s="686">
        <f t="shared" si="10"/>
        <v>0</v>
      </c>
      <c r="BO23" s="686">
        <f t="shared" si="10"/>
        <v>0</v>
      </c>
      <c r="BP23" s="686">
        <f t="shared" si="10"/>
        <v>0</v>
      </c>
      <c r="BQ23" s="686">
        <f t="shared" si="10"/>
        <v>0</v>
      </c>
      <c r="BT23" s="351">
        <f t="shared" si="11"/>
        <v>0</v>
      </c>
      <c r="BU23" s="351">
        <f t="shared" si="12"/>
        <v>0</v>
      </c>
      <c r="BW23" s="124" t="s">
        <v>695</v>
      </c>
      <c r="BX23" s="124">
        <v>90</v>
      </c>
      <c r="BY23" s="124">
        <v>200</v>
      </c>
      <c r="BZ23" s="124">
        <v>1</v>
      </c>
      <c r="CA23" s="124">
        <v>1.5</v>
      </c>
      <c r="CB23" s="641">
        <v>90</v>
      </c>
      <c r="CC23" s="393">
        <v>0.8</v>
      </c>
      <c r="CD23" s="352">
        <f t="shared" si="0"/>
        <v>72</v>
      </c>
    </row>
    <row r="24" spans="1:84" ht="26.25" customHeight="1" x14ac:dyDescent="0.25">
      <c r="A24" s="342"/>
      <c r="B24" s="1215"/>
      <c r="C24" s="600" t="s">
        <v>31</v>
      </c>
      <c r="D24" s="408">
        <f t="shared" si="1"/>
        <v>0</v>
      </c>
      <c r="E24" s="427">
        <f t="shared" si="2"/>
        <v>0</v>
      </c>
      <c r="F24" s="1206"/>
      <c r="G24" s="413">
        <f t="shared" si="3"/>
        <v>0</v>
      </c>
      <c r="H24" s="602" t="s">
        <v>510</v>
      </c>
      <c r="I24" s="427">
        <f t="shared" si="4"/>
        <v>0</v>
      </c>
      <c r="J24" s="430" t="s">
        <v>31</v>
      </c>
      <c r="K24" s="606">
        <f t="shared" si="5"/>
        <v>0</v>
      </c>
      <c r="L24" s="408">
        <f t="shared" si="6"/>
        <v>0</v>
      </c>
      <c r="M24" s="1209"/>
      <c r="N24" s="450" t="s">
        <v>160</v>
      </c>
      <c r="O24" s="427">
        <f t="shared" si="7"/>
        <v>0</v>
      </c>
      <c r="P24" s="1212"/>
      <c r="Q24" s="747">
        <f t="shared" si="13"/>
        <v>0</v>
      </c>
      <c r="R24" s="608">
        <f t="shared" si="8"/>
        <v>0</v>
      </c>
      <c r="S24" s="479">
        <f t="shared" si="9"/>
        <v>0</v>
      </c>
      <c r="T24" s="435">
        <f t="shared" si="14"/>
        <v>0</v>
      </c>
      <c r="V24" s="852">
        <f t="shared" si="15"/>
        <v>0</v>
      </c>
      <c r="W24" s="852" t="str">
        <f t="shared" si="16"/>
        <v>keine</v>
      </c>
      <c r="X24" s="886"/>
      <c r="Y24" s="887" t="s">
        <v>805</v>
      </c>
      <c r="Z24" s="906">
        <v>0</v>
      </c>
      <c r="AA24" s="687">
        <f>VLOOKUP(Y24,Düngemittel!$B$6:$E$64,2,FALSE)*(VLOOKUP(Y24,Düngemittel!$B$6:$E$64,3,FALSE))/100*Z24</f>
        <v>0</v>
      </c>
      <c r="AB24" s="687">
        <f>VLOOKUP(Y24,Düngemittel!$B$6:$E$64,2,FALSE)*Z24</f>
        <v>0</v>
      </c>
      <c r="AC24" s="687">
        <f>VLOOKUP(Y24,Düngemittel!$B$6:$E$64,4,FALSE)*Z24</f>
        <v>0</v>
      </c>
      <c r="AE24" s="886"/>
      <c r="AF24" s="887" t="s">
        <v>805</v>
      </c>
      <c r="AG24" s="906">
        <v>0</v>
      </c>
      <c r="AH24" s="687">
        <f>VLOOKUP(AF24,Düngemittel!$B$6:$E$64,2,FALSE)*(VLOOKUP(AF24,Düngemittel!$B$6:$E$64,3,FALSE))/100*AG24</f>
        <v>0</v>
      </c>
      <c r="AI24" s="687">
        <f>VLOOKUP(AF24,Düngemittel!$B$6:$E$64,2,FALSE)*AG24</f>
        <v>0</v>
      </c>
      <c r="AJ24" s="687">
        <f>VLOOKUP(AF24,Düngemittel!$B$6:$E$64,4,FALSE)*AG24</f>
        <v>0</v>
      </c>
      <c r="AL24" s="886"/>
      <c r="AM24" s="887" t="s">
        <v>805</v>
      </c>
      <c r="AN24" s="906">
        <v>0</v>
      </c>
      <c r="AO24" s="687">
        <f>VLOOKUP(AM24,Düngemittel!$B$6:$E$64,2,FALSE)*(VLOOKUP(AM24,Düngemittel!$B$6:$E$64,3,FALSE))/100*AN24</f>
        <v>0</v>
      </c>
      <c r="AP24" s="687">
        <f>VLOOKUP(AM24,Düngemittel!$B$6:$E$64,2,FALSE)*AN24</f>
        <v>0</v>
      </c>
      <c r="AQ24" s="687">
        <f>VLOOKUP(AM24,Düngemittel!$B$6:$E$64,4,FALSE)*AN24</f>
        <v>0</v>
      </c>
      <c r="AS24" s="886"/>
      <c r="AT24" s="887" t="s">
        <v>805</v>
      </c>
      <c r="AU24" s="906">
        <v>0</v>
      </c>
      <c r="AV24" s="687">
        <f>VLOOKUP(AT24,Düngemittel!$B$6:$E$64,2,FALSE)*(VLOOKUP(AT24,Düngemittel!$B$6:$E$64,3,FALSE))/100*AU24</f>
        <v>0</v>
      </c>
      <c r="AW24" s="687">
        <f>VLOOKUP(AT24,Düngemittel!$B$6:$E$64,2,FALSE)*AU24</f>
        <v>0</v>
      </c>
      <c r="AX24" s="687">
        <f>VLOOKUP(AT24,Düngemittel!$B$6:$E$64,4,FALSE)*AU24</f>
        <v>0</v>
      </c>
      <c r="AZ24" s="886"/>
      <c r="BA24" s="887" t="s">
        <v>805</v>
      </c>
      <c r="BB24" s="906">
        <v>0</v>
      </c>
      <c r="BC24" s="687">
        <f>VLOOKUP(BA24,Düngemittel!$B$6:$E$64,2,FALSE)*(VLOOKUP(BA24,Düngemittel!$B$6:$E$64,3,FALSE))/100*BB24</f>
        <v>0</v>
      </c>
      <c r="BD24" s="687">
        <f>VLOOKUP(BA24,Düngemittel!$B$6:$E$64,2,FALSE)*BB24</f>
        <v>0</v>
      </c>
      <c r="BE24" s="687">
        <f>VLOOKUP(BA24,Düngemittel!$B$6:$E$64,4,FALSE)*BB24</f>
        <v>0</v>
      </c>
      <c r="BG24" s="853">
        <f t="shared" si="17"/>
        <v>0</v>
      </c>
      <c r="BH24" s="308">
        <f t="shared" si="18"/>
        <v>0</v>
      </c>
      <c r="BI24" s="853">
        <f t="shared" si="18"/>
        <v>0</v>
      </c>
      <c r="BJ24" s="777">
        <f t="shared" si="19"/>
        <v>0</v>
      </c>
      <c r="BK24" s="308">
        <f t="shared" si="20"/>
        <v>0</v>
      </c>
      <c r="BL24" s="83"/>
      <c r="BM24" s="686">
        <f t="shared" si="21"/>
        <v>0</v>
      </c>
      <c r="BN24" s="686">
        <f t="shared" si="21"/>
        <v>0</v>
      </c>
      <c r="BO24" s="686">
        <f t="shared" si="21"/>
        <v>0</v>
      </c>
      <c r="BP24" s="686">
        <f t="shared" si="21"/>
        <v>0</v>
      </c>
      <c r="BQ24" s="686">
        <f t="shared" si="21"/>
        <v>0</v>
      </c>
      <c r="BT24" s="351">
        <f t="shared" si="11"/>
        <v>0</v>
      </c>
      <c r="BU24" s="351">
        <f t="shared" si="12"/>
        <v>0</v>
      </c>
      <c r="BW24" s="124" t="s">
        <v>479</v>
      </c>
      <c r="BX24" s="124">
        <v>400</v>
      </c>
      <c r="BY24" s="124">
        <v>140</v>
      </c>
      <c r="BZ24" s="124">
        <v>0.25</v>
      </c>
      <c r="CA24" s="124">
        <v>0.25</v>
      </c>
      <c r="CB24" s="641">
        <v>60</v>
      </c>
      <c r="CC24" s="393">
        <v>0.21</v>
      </c>
      <c r="CD24" s="352">
        <f t="shared" si="0"/>
        <v>84</v>
      </c>
    </row>
    <row r="25" spans="1:84" ht="26.25" customHeight="1" x14ac:dyDescent="0.25">
      <c r="A25" s="342"/>
      <c r="B25" s="1215"/>
      <c r="C25" s="600" t="s">
        <v>31</v>
      </c>
      <c r="D25" s="408">
        <f t="shared" si="1"/>
        <v>0</v>
      </c>
      <c r="E25" s="427">
        <f t="shared" si="2"/>
        <v>0</v>
      </c>
      <c r="F25" s="1206"/>
      <c r="G25" s="413">
        <f t="shared" si="3"/>
        <v>0</v>
      </c>
      <c r="H25" s="602" t="s">
        <v>510</v>
      </c>
      <c r="I25" s="427">
        <f t="shared" si="4"/>
        <v>0</v>
      </c>
      <c r="J25" s="430" t="s">
        <v>31</v>
      </c>
      <c r="K25" s="606">
        <f t="shared" si="5"/>
        <v>0</v>
      </c>
      <c r="L25" s="408">
        <f t="shared" si="6"/>
        <v>0</v>
      </c>
      <c r="M25" s="1209"/>
      <c r="N25" s="450" t="s">
        <v>160</v>
      </c>
      <c r="O25" s="427">
        <f t="shared" si="7"/>
        <v>0</v>
      </c>
      <c r="P25" s="1212"/>
      <c r="Q25" s="747">
        <f t="shared" si="13"/>
        <v>0</v>
      </c>
      <c r="R25" s="608">
        <f t="shared" si="8"/>
        <v>0</v>
      </c>
      <c r="S25" s="479">
        <f t="shared" si="9"/>
        <v>0</v>
      </c>
      <c r="T25" s="435">
        <f t="shared" si="14"/>
        <v>0</v>
      </c>
      <c r="V25" s="852">
        <f t="shared" si="15"/>
        <v>0</v>
      </c>
      <c r="W25" s="852" t="str">
        <f t="shared" si="16"/>
        <v>keine</v>
      </c>
      <c r="X25" s="886"/>
      <c r="Y25" s="887" t="s">
        <v>805</v>
      </c>
      <c r="Z25" s="906">
        <v>0</v>
      </c>
      <c r="AA25" s="687">
        <f>VLOOKUP(Y25,Düngemittel!$B$6:$E$64,2,FALSE)*(VLOOKUP(Y25,Düngemittel!$B$6:$E$64,3,FALSE))/100*Z25</f>
        <v>0</v>
      </c>
      <c r="AB25" s="687">
        <f>VLOOKUP(Y25,Düngemittel!$B$6:$E$64,2,FALSE)*Z25</f>
        <v>0</v>
      </c>
      <c r="AC25" s="687">
        <f>VLOOKUP(Y25,Düngemittel!$B$6:$E$64,4,FALSE)*Z25</f>
        <v>0</v>
      </c>
      <c r="AE25" s="886"/>
      <c r="AF25" s="887" t="s">
        <v>805</v>
      </c>
      <c r="AG25" s="906">
        <v>0</v>
      </c>
      <c r="AH25" s="687">
        <f>VLOOKUP(AF25,Düngemittel!$B$6:$E$64,2,FALSE)*(VLOOKUP(AF25,Düngemittel!$B$6:$E$64,3,FALSE))/100*AG25</f>
        <v>0</v>
      </c>
      <c r="AI25" s="687">
        <f>VLOOKUP(AF25,Düngemittel!$B$6:$E$64,2,FALSE)*AG25</f>
        <v>0</v>
      </c>
      <c r="AJ25" s="687">
        <f>VLOOKUP(AF25,Düngemittel!$B$6:$E$64,4,FALSE)*AG25</f>
        <v>0</v>
      </c>
      <c r="AL25" s="886"/>
      <c r="AM25" s="887" t="s">
        <v>805</v>
      </c>
      <c r="AN25" s="906">
        <v>0</v>
      </c>
      <c r="AO25" s="687">
        <f>VLOOKUP(AM25,Düngemittel!$B$6:$E$64,2,FALSE)*(VLOOKUP(AM25,Düngemittel!$B$6:$E$64,3,FALSE))/100*AN25</f>
        <v>0</v>
      </c>
      <c r="AP25" s="687">
        <f>VLOOKUP(AM25,Düngemittel!$B$6:$E$64,2,FALSE)*AN25</f>
        <v>0</v>
      </c>
      <c r="AQ25" s="687">
        <f>VLOOKUP(AM25,Düngemittel!$B$6:$E$64,4,FALSE)*AN25</f>
        <v>0</v>
      </c>
      <c r="AS25" s="886"/>
      <c r="AT25" s="887" t="s">
        <v>805</v>
      </c>
      <c r="AU25" s="906">
        <v>0</v>
      </c>
      <c r="AV25" s="687">
        <f>VLOOKUP(AT25,Düngemittel!$B$6:$E$64,2,FALSE)*(VLOOKUP(AT25,Düngemittel!$B$6:$E$64,3,FALSE))/100*AU25</f>
        <v>0</v>
      </c>
      <c r="AW25" s="687">
        <f>VLOOKUP(AT25,Düngemittel!$B$6:$E$64,2,FALSE)*AU25</f>
        <v>0</v>
      </c>
      <c r="AX25" s="687">
        <f>VLOOKUP(AT25,Düngemittel!$B$6:$E$64,4,FALSE)*AU25</f>
        <v>0</v>
      </c>
      <c r="AZ25" s="886"/>
      <c r="BA25" s="887" t="s">
        <v>805</v>
      </c>
      <c r="BB25" s="906">
        <v>0</v>
      </c>
      <c r="BC25" s="687">
        <f>VLOOKUP(BA25,Düngemittel!$B$6:$E$64,2,FALSE)*(VLOOKUP(BA25,Düngemittel!$B$6:$E$64,3,FALSE))/100*BB25</f>
        <v>0</v>
      </c>
      <c r="BD25" s="687">
        <f>VLOOKUP(BA25,Düngemittel!$B$6:$E$64,2,FALSE)*BB25</f>
        <v>0</v>
      </c>
      <c r="BE25" s="687">
        <f>VLOOKUP(BA25,Düngemittel!$B$6:$E$64,4,FALSE)*BB25</f>
        <v>0</v>
      </c>
      <c r="BG25" s="853">
        <f t="shared" si="17"/>
        <v>0</v>
      </c>
      <c r="BH25" s="308">
        <f t="shared" si="18"/>
        <v>0</v>
      </c>
      <c r="BI25" s="853">
        <f t="shared" si="18"/>
        <v>0</v>
      </c>
      <c r="BJ25" s="777">
        <f t="shared" si="19"/>
        <v>0</v>
      </c>
      <c r="BK25" s="308">
        <f t="shared" si="20"/>
        <v>0</v>
      </c>
      <c r="BL25" s="83"/>
      <c r="BM25" s="686">
        <f t="shared" si="21"/>
        <v>0</v>
      </c>
      <c r="BN25" s="686">
        <f t="shared" si="21"/>
        <v>0</v>
      </c>
      <c r="BO25" s="686">
        <f t="shared" si="21"/>
        <v>0</v>
      </c>
      <c r="BP25" s="686">
        <f t="shared" si="21"/>
        <v>0</v>
      </c>
      <c r="BQ25" s="686">
        <f t="shared" si="21"/>
        <v>0</v>
      </c>
      <c r="BT25" s="351">
        <f t="shared" si="11"/>
        <v>0</v>
      </c>
      <c r="BU25" s="351">
        <f t="shared" si="12"/>
        <v>0</v>
      </c>
      <c r="BW25" s="240" t="s">
        <v>705</v>
      </c>
      <c r="BX25" s="240">
        <v>20</v>
      </c>
      <c r="BY25" s="594">
        <v>110</v>
      </c>
      <c r="BZ25" s="594">
        <v>2</v>
      </c>
      <c r="CA25" s="594">
        <v>3</v>
      </c>
      <c r="CB25" s="641">
        <v>60</v>
      </c>
      <c r="CC25" s="393">
        <v>2</v>
      </c>
      <c r="CD25" s="352">
        <f t="shared" si="0"/>
        <v>40</v>
      </c>
    </row>
    <row r="26" spans="1:84" ht="26.25" customHeight="1" x14ac:dyDescent="0.25">
      <c r="A26" s="342"/>
      <c r="B26" s="1215"/>
      <c r="C26" s="600" t="s">
        <v>31</v>
      </c>
      <c r="D26" s="408">
        <f t="shared" si="1"/>
        <v>0</v>
      </c>
      <c r="E26" s="427">
        <f t="shared" si="2"/>
        <v>0</v>
      </c>
      <c r="F26" s="1206"/>
      <c r="G26" s="413">
        <f t="shared" si="3"/>
        <v>0</v>
      </c>
      <c r="H26" s="602" t="s">
        <v>510</v>
      </c>
      <c r="I26" s="427">
        <f t="shared" si="4"/>
        <v>0</v>
      </c>
      <c r="J26" s="430" t="s">
        <v>31</v>
      </c>
      <c r="K26" s="606">
        <f t="shared" si="5"/>
        <v>0</v>
      </c>
      <c r="L26" s="408">
        <f t="shared" si="6"/>
        <v>0</v>
      </c>
      <c r="M26" s="1209"/>
      <c r="N26" s="450" t="s">
        <v>160</v>
      </c>
      <c r="O26" s="427">
        <f t="shared" si="7"/>
        <v>0</v>
      </c>
      <c r="P26" s="1212"/>
      <c r="Q26" s="747">
        <f t="shared" si="13"/>
        <v>0</v>
      </c>
      <c r="R26" s="608">
        <f t="shared" si="8"/>
        <v>0</v>
      </c>
      <c r="S26" s="479">
        <f t="shared" si="9"/>
        <v>0</v>
      </c>
      <c r="T26" s="435">
        <f t="shared" si="14"/>
        <v>0</v>
      </c>
      <c r="V26" s="852">
        <f t="shared" si="15"/>
        <v>0</v>
      </c>
      <c r="W26" s="852" t="str">
        <f t="shared" si="16"/>
        <v>keine</v>
      </c>
      <c r="X26" s="886"/>
      <c r="Y26" s="887" t="s">
        <v>805</v>
      </c>
      <c r="Z26" s="906">
        <v>0</v>
      </c>
      <c r="AA26" s="687">
        <f>VLOOKUP(Y26,Düngemittel!$B$6:$E$64,2,FALSE)*(VLOOKUP(Y26,Düngemittel!$B$6:$E$64,3,FALSE))/100*Z26</f>
        <v>0</v>
      </c>
      <c r="AB26" s="687">
        <f>VLOOKUP(Y26,Düngemittel!$B$6:$E$64,2,FALSE)*Z26</f>
        <v>0</v>
      </c>
      <c r="AC26" s="687">
        <f>VLOOKUP(Y26,Düngemittel!$B$6:$E$64,4,FALSE)*Z26</f>
        <v>0</v>
      </c>
      <c r="AE26" s="886"/>
      <c r="AF26" s="887" t="s">
        <v>805</v>
      </c>
      <c r="AG26" s="906">
        <v>0</v>
      </c>
      <c r="AH26" s="687">
        <f>VLOOKUP(AF26,Düngemittel!$B$6:$E$64,2,FALSE)*(VLOOKUP(AF26,Düngemittel!$B$6:$E$64,3,FALSE))/100*AG26</f>
        <v>0</v>
      </c>
      <c r="AI26" s="687">
        <f>VLOOKUP(AF26,Düngemittel!$B$6:$E$64,2,FALSE)*AG26</f>
        <v>0</v>
      </c>
      <c r="AJ26" s="687">
        <f>VLOOKUP(AF26,Düngemittel!$B$6:$E$64,4,FALSE)*AG26</f>
        <v>0</v>
      </c>
      <c r="AL26" s="886"/>
      <c r="AM26" s="887" t="s">
        <v>805</v>
      </c>
      <c r="AN26" s="906">
        <v>0</v>
      </c>
      <c r="AO26" s="687">
        <f>VLOOKUP(AM26,Düngemittel!$B$6:$E$64,2,FALSE)*(VLOOKUP(AM26,Düngemittel!$B$6:$E$64,3,FALSE))/100*AN26</f>
        <v>0</v>
      </c>
      <c r="AP26" s="687">
        <f>VLOOKUP(AM26,Düngemittel!$B$6:$E$64,2,FALSE)*AN26</f>
        <v>0</v>
      </c>
      <c r="AQ26" s="687">
        <f>VLOOKUP(AM26,Düngemittel!$B$6:$E$64,4,FALSE)*AN26</f>
        <v>0</v>
      </c>
      <c r="AS26" s="886"/>
      <c r="AT26" s="887" t="s">
        <v>805</v>
      </c>
      <c r="AU26" s="906">
        <v>0</v>
      </c>
      <c r="AV26" s="687">
        <f>VLOOKUP(AT26,Düngemittel!$B$6:$E$64,2,FALSE)*(VLOOKUP(AT26,Düngemittel!$B$6:$E$64,3,FALSE))/100*AU26</f>
        <v>0</v>
      </c>
      <c r="AW26" s="687">
        <f>VLOOKUP(AT26,Düngemittel!$B$6:$E$64,2,FALSE)*AU26</f>
        <v>0</v>
      </c>
      <c r="AX26" s="687">
        <f>VLOOKUP(AT26,Düngemittel!$B$6:$E$64,4,FALSE)*AU26</f>
        <v>0</v>
      </c>
      <c r="AZ26" s="886"/>
      <c r="BA26" s="887" t="s">
        <v>805</v>
      </c>
      <c r="BB26" s="906">
        <v>0</v>
      </c>
      <c r="BC26" s="687">
        <f>VLOOKUP(BA26,Düngemittel!$B$6:$E$64,2,FALSE)*(VLOOKUP(BA26,Düngemittel!$B$6:$E$64,3,FALSE))/100*BB26</f>
        <v>0</v>
      </c>
      <c r="BD26" s="687">
        <f>VLOOKUP(BA26,Düngemittel!$B$6:$E$64,2,FALSE)*BB26</f>
        <v>0</v>
      </c>
      <c r="BE26" s="687">
        <f>VLOOKUP(BA26,Düngemittel!$B$6:$E$64,4,FALSE)*BB26</f>
        <v>0</v>
      </c>
      <c r="BG26" s="853">
        <f t="shared" si="17"/>
        <v>0</v>
      </c>
      <c r="BH26" s="308">
        <f t="shared" si="18"/>
        <v>0</v>
      </c>
      <c r="BI26" s="853">
        <f t="shared" si="18"/>
        <v>0</v>
      </c>
      <c r="BJ26" s="777">
        <f t="shared" si="19"/>
        <v>0</v>
      </c>
      <c r="BK26" s="308">
        <f t="shared" si="20"/>
        <v>0</v>
      </c>
      <c r="BL26" s="83"/>
      <c r="BM26" s="686">
        <f t="shared" si="21"/>
        <v>0</v>
      </c>
      <c r="BN26" s="686">
        <f t="shared" si="21"/>
        <v>0</v>
      </c>
      <c r="BO26" s="686">
        <f t="shared" si="21"/>
        <v>0</v>
      </c>
      <c r="BP26" s="686">
        <f t="shared" si="21"/>
        <v>0</v>
      </c>
      <c r="BQ26" s="686">
        <f t="shared" si="21"/>
        <v>0</v>
      </c>
      <c r="BT26" s="351">
        <f t="shared" si="11"/>
        <v>0</v>
      </c>
      <c r="BU26" s="351">
        <f t="shared" si="12"/>
        <v>0</v>
      </c>
      <c r="BV26" s="126"/>
      <c r="BW26" s="240" t="s">
        <v>763</v>
      </c>
      <c r="BX26" s="240">
        <v>850</v>
      </c>
      <c r="BY26" s="594">
        <v>220</v>
      </c>
      <c r="BZ26" s="595">
        <v>0.18</v>
      </c>
      <c r="CA26" s="595">
        <v>0.22</v>
      </c>
      <c r="CB26" s="641">
        <v>90</v>
      </c>
      <c r="CC26" s="393">
        <v>7.0000000000000007E-2</v>
      </c>
      <c r="CD26" s="352">
        <f t="shared" si="0"/>
        <v>59.500000000000007</v>
      </c>
    </row>
    <row r="27" spans="1:84" ht="26.25" customHeight="1" x14ac:dyDescent="0.25">
      <c r="A27" s="342"/>
      <c r="B27" s="1215"/>
      <c r="C27" s="600" t="s">
        <v>31</v>
      </c>
      <c r="D27" s="408">
        <f t="shared" si="1"/>
        <v>0</v>
      </c>
      <c r="E27" s="427">
        <f t="shared" si="2"/>
        <v>0</v>
      </c>
      <c r="F27" s="1206"/>
      <c r="G27" s="413">
        <f t="shared" si="3"/>
        <v>0</v>
      </c>
      <c r="H27" s="602" t="s">
        <v>510</v>
      </c>
      <c r="I27" s="427">
        <f t="shared" si="4"/>
        <v>0</v>
      </c>
      <c r="J27" s="430" t="s">
        <v>31</v>
      </c>
      <c r="K27" s="606">
        <f t="shared" si="5"/>
        <v>0</v>
      </c>
      <c r="L27" s="408">
        <f t="shared" si="6"/>
        <v>0</v>
      </c>
      <c r="M27" s="1209"/>
      <c r="N27" s="450" t="s">
        <v>160</v>
      </c>
      <c r="O27" s="427">
        <f t="shared" si="7"/>
        <v>0</v>
      </c>
      <c r="P27" s="1212"/>
      <c r="Q27" s="747">
        <f t="shared" si="13"/>
        <v>0</v>
      </c>
      <c r="R27" s="608">
        <f t="shared" si="8"/>
        <v>0</v>
      </c>
      <c r="S27" s="479">
        <f t="shared" si="9"/>
        <v>0</v>
      </c>
      <c r="T27" s="435">
        <f t="shared" si="14"/>
        <v>0</v>
      </c>
      <c r="V27" s="852">
        <f t="shared" si="15"/>
        <v>0</v>
      </c>
      <c r="W27" s="852" t="str">
        <f t="shared" si="16"/>
        <v>keine</v>
      </c>
      <c r="X27" s="886"/>
      <c r="Y27" s="887" t="s">
        <v>805</v>
      </c>
      <c r="Z27" s="906">
        <v>0</v>
      </c>
      <c r="AA27" s="687">
        <f>VLOOKUP(Y27,Düngemittel!$B$6:$E$64,2,FALSE)*(VLOOKUP(Y27,Düngemittel!$B$6:$E$64,3,FALSE))/100*Z27</f>
        <v>0</v>
      </c>
      <c r="AB27" s="687">
        <f>VLOOKUP(Y27,Düngemittel!$B$6:$E$64,2,FALSE)*Z27</f>
        <v>0</v>
      </c>
      <c r="AC27" s="687">
        <f>VLOOKUP(Y27,Düngemittel!$B$6:$E$64,4,FALSE)*Z27</f>
        <v>0</v>
      </c>
      <c r="AE27" s="886"/>
      <c r="AF27" s="887" t="s">
        <v>805</v>
      </c>
      <c r="AG27" s="906">
        <v>0</v>
      </c>
      <c r="AH27" s="687">
        <f>VLOOKUP(AF27,Düngemittel!$B$6:$E$64,2,FALSE)*(VLOOKUP(AF27,Düngemittel!$B$6:$E$64,3,FALSE))/100*AG27</f>
        <v>0</v>
      </c>
      <c r="AI27" s="687">
        <f>VLOOKUP(AF27,Düngemittel!$B$6:$E$64,2,FALSE)*AG27</f>
        <v>0</v>
      </c>
      <c r="AJ27" s="687">
        <f>VLOOKUP(AF27,Düngemittel!$B$6:$E$64,4,FALSE)*AG27</f>
        <v>0</v>
      </c>
      <c r="AL27" s="886"/>
      <c r="AM27" s="887" t="s">
        <v>805</v>
      </c>
      <c r="AN27" s="906">
        <v>0</v>
      </c>
      <c r="AO27" s="687">
        <f>VLOOKUP(AM27,Düngemittel!$B$6:$E$64,2,FALSE)*(VLOOKUP(AM27,Düngemittel!$B$6:$E$64,3,FALSE))/100*AN27</f>
        <v>0</v>
      </c>
      <c r="AP27" s="687">
        <f>VLOOKUP(AM27,Düngemittel!$B$6:$E$64,2,FALSE)*AN27</f>
        <v>0</v>
      </c>
      <c r="AQ27" s="687">
        <f>VLOOKUP(AM27,Düngemittel!$B$6:$E$64,4,FALSE)*AN27</f>
        <v>0</v>
      </c>
      <c r="AS27" s="886"/>
      <c r="AT27" s="887" t="s">
        <v>805</v>
      </c>
      <c r="AU27" s="906">
        <v>0</v>
      </c>
      <c r="AV27" s="687">
        <f>VLOOKUP(AT27,Düngemittel!$B$6:$E$64,2,FALSE)*(VLOOKUP(AT27,Düngemittel!$B$6:$E$64,3,FALSE))/100*AU27</f>
        <v>0</v>
      </c>
      <c r="AW27" s="687">
        <f>VLOOKUP(AT27,Düngemittel!$B$6:$E$64,2,FALSE)*AU27</f>
        <v>0</v>
      </c>
      <c r="AX27" s="687">
        <f>VLOOKUP(AT27,Düngemittel!$B$6:$E$64,4,FALSE)*AU27</f>
        <v>0</v>
      </c>
      <c r="AZ27" s="886"/>
      <c r="BA27" s="887" t="s">
        <v>805</v>
      </c>
      <c r="BB27" s="906">
        <v>0</v>
      </c>
      <c r="BC27" s="687">
        <f>VLOOKUP(BA27,Düngemittel!$B$6:$E$64,2,FALSE)*(VLOOKUP(BA27,Düngemittel!$B$6:$E$64,3,FALSE))/100*BB27</f>
        <v>0</v>
      </c>
      <c r="BD27" s="687">
        <f>VLOOKUP(BA27,Düngemittel!$B$6:$E$64,2,FALSE)*BB27</f>
        <v>0</v>
      </c>
      <c r="BE27" s="687">
        <f>VLOOKUP(BA27,Düngemittel!$B$6:$E$64,4,FALSE)*BB27</f>
        <v>0</v>
      </c>
      <c r="BG27" s="853">
        <f t="shared" si="17"/>
        <v>0</v>
      </c>
      <c r="BH27" s="308">
        <f t="shared" si="18"/>
        <v>0</v>
      </c>
      <c r="BI27" s="853">
        <f t="shared" si="18"/>
        <v>0</v>
      </c>
      <c r="BJ27" s="777">
        <f t="shared" si="19"/>
        <v>0</v>
      </c>
      <c r="BK27" s="308">
        <f t="shared" si="20"/>
        <v>0</v>
      </c>
      <c r="BL27" s="83"/>
      <c r="BM27" s="686">
        <f t="shared" si="21"/>
        <v>0</v>
      </c>
      <c r="BN27" s="686">
        <f t="shared" si="21"/>
        <v>0</v>
      </c>
      <c r="BO27" s="686">
        <f t="shared" si="21"/>
        <v>0</v>
      </c>
      <c r="BP27" s="686">
        <f t="shared" si="21"/>
        <v>0</v>
      </c>
      <c r="BQ27" s="686">
        <f t="shared" si="21"/>
        <v>0</v>
      </c>
      <c r="BT27" s="351">
        <f t="shared" si="11"/>
        <v>0</v>
      </c>
      <c r="BU27" s="351">
        <f t="shared" si="12"/>
        <v>0</v>
      </c>
      <c r="BW27" s="643" t="s">
        <v>772</v>
      </c>
      <c r="BX27" s="643">
        <v>200</v>
      </c>
      <c r="BY27" s="643">
        <v>100</v>
      </c>
      <c r="BZ27" s="643">
        <v>0.2</v>
      </c>
      <c r="CA27" s="643">
        <v>0.3</v>
      </c>
      <c r="CB27" s="641">
        <v>60</v>
      </c>
      <c r="CC27" s="393">
        <v>0.24</v>
      </c>
      <c r="CD27" s="352">
        <f t="shared" si="0"/>
        <v>48</v>
      </c>
    </row>
    <row r="28" spans="1:84" ht="26.25" customHeight="1" x14ac:dyDescent="0.25">
      <c r="A28" s="342"/>
      <c r="B28" s="1215"/>
      <c r="C28" s="600" t="s">
        <v>31</v>
      </c>
      <c r="D28" s="408">
        <f t="shared" si="1"/>
        <v>0</v>
      </c>
      <c r="E28" s="427">
        <f t="shared" si="2"/>
        <v>0</v>
      </c>
      <c r="F28" s="1206"/>
      <c r="G28" s="413">
        <f t="shared" si="3"/>
        <v>0</v>
      </c>
      <c r="H28" s="602" t="s">
        <v>510</v>
      </c>
      <c r="I28" s="427">
        <f t="shared" si="4"/>
        <v>0</v>
      </c>
      <c r="J28" s="430" t="s">
        <v>31</v>
      </c>
      <c r="K28" s="606">
        <f t="shared" si="5"/>
        <v>0</v>
      </c>
      <c r="L28" s="408">
        <f t="shared" si="6"/>
        <v>0</v>
      </c>
      <c r="M28" s="1209"/>
      <c r="N28" s="450" t="s">
        <v>160</v>
      </c>
      <c r="O28" s="427">
        <f t="shared" si="7"/>
        <v>0</v>
      </c>
      <c r="P28" s="1212"/>
      <c r="Q28" s="747">
        <f t="shared" si="13"/>
        <v>0</v>
      </c>
      <c r="R28" s="608">
        <f t="shared" si="8"/>
        <v>0</v>
      </c>
      <c r="S28" s="479">
        <f t="shared" si="9"/>
        <v>0</v>
      </c>
      <c r="T28" s="435">
        <f t="shared" si="14"/>
        <v>0</v>
      </c>
      <c r="U28" s="122"/>
      <c r="V28" s="852">
        <f t="shared" si="15"/>
        <v>0</v>
      </c>
      <c r="W28" s="852" t="str">
        <f t="shared" si="16"/>
        <v>keine</v>
      </c>
      <c r="X28" s="886"/>
      <c r="Y28" s="887" t="s">
        <v>805</v>
      </c>
      <c r="Z28" s="906">
        <v>0</v>
      </c>
      <c r="AA28" s="687">
        <f>VLOOKUP(Y28,Düngemittel!$B$6:$E$64,2,FALSE)*(VLOOKUP(Y28,Düngemittel!$B$6:$E$64,3,FALSE))/100*Z28</f>
        <v>0</v>
      </c>
      <c r="AB28" s="687">
        <f>VLOOKUP(Y28,Düngemittel!$B$6:$E$64,2,FALSE)*Z28</f>
        <v>0</v>
      </c>
      <c r="AC28" s="687">
        <f>VLOOKUP(Y28,Düngemittel!$B$6:$E$64,4,FALSE)*Z28</f>
        <v>0</v>
      </c>
      <c r="AD28" s="122"/>
      <c r="AE28" s="886"/>
      <c r="AF28" s="887" t="s">
        <v>805</v>
      </c>
      <c r="AG28" s="906">
        <v>0</v>
      </c>
      <c r="AH28" s="687">
        <f>VLOOKUP(AF28,Düngemittel!$B$6:$E$64,2,FALSE)*(VLOOKUP(AF28,Düngemittel!$B$6:$E$64,3,FALSE))/100*AG28</f>
        <v>0</v>
      </c>
      <c r="AI28" s="687">
        <f>VLOOKUP(AF28,Düngemittel!$B$6:$E$64,2,FALSE)*AG28</f>
        <v>0</v>
      </c>
      <c r="AJ28" s="687">
        <f>VLOOKUP(AF28,Düngemittel!$B$6:$E$64,4,FALSE)*AG28</f>
        <v>0</v>
      </c>
      <c r="AK28" s="122"/>
      <c r="AL28" s="886"/>
      <c r="AM28" s="887" t="s">
        <v>805</v>
      </c>
      <c r="AN28" s="906">
        <v>0</v>
      </c>
      <c r="AO28" s="687">
        <f>VLOOKUP(AM28,Düngemittel!$B$6:$E$64,2,FALSE)*(VLOOKUP(AM28,Düngemittel!$B$6:$E$64,3,FALSE))/100*AN28</f>
        <v>0</v>
      </c>
      <c r="AP28" s="687">
        <f>VLOOKUP(AM28,Düngemittel!$B$6:$E$64,2,FALSE)*AN28</f>
        <v>0</v>
      </c>
      <c r="AQ28" s="687">
        <f>VLOOKUP(AM28,Düngemittel!$B$6:$E$64,4,FALSE)*AN28</f>
        <v>0</v>
      </c>
      <c r="AR28" s="122"/>
      <c r="AS28" s="886"/>
      <c r="AT28" s="887" t="s">
        <v>805</v>
      </c>
      <c r="AU28" s="906">
        <v>0</v>
      </c>
      <c r="AV28" s="687">
        <f>VLOOKUP(AT28,Düngemittel!$B$6:$E$64,2,FALSE)*(VLOOKUP(AT28,Düngemittel!$B$6:$E$64,3,FALSE))/100*AU28</f>
        <v>0</v>
      </c>
      <c r="AW28" s="687">
        <f>VLOOKUP(AT28,Düngemittel!$B$6:$E$64,2,FALSE)*AU28</f>
        <v>0</v>
      </c>
      <c r="AX28" s="687">
        <f>VLOOKUP(AT28,Düngemittel!$B$6:$E$64,4,FALSE)*AU28</f>
        <v>0</v>
      </c>
      <c r="AY28" s="122"/>
      <c r="AZ28" s="886"/>
      <c r="BA28" s="887" t="s">
        <v>805</v>
      </c>
      <c r="BB28" s="906">
        <v>0</v>
      </c>
      <c r="BC28" s="687">
        <f>VLOOKUP(BA28,Düngemittel!$B$6:$E$64,2,FALSE)*(VLOOKUP(BA28,Düngemittel!$B$6:$E$64,3,FALSE))/100*BB28</f>
        <v>0</v>
      </c>
      <c r="BD28" s="687">
        <f>VLOOKUP(BA28,Düngemittel!$B$6:$E$64,2,FALSE)*BB28</f>
        <v>0</v>
      </c>
      <c r="BE28" s="687">
        <f>VLOOKUP(BA28,Düngemittel!$B$6:$E$64,4,FALSE)*BB28</f>
        <v>0</v>
      </c>
      <c r="BF28" s="122"/>
      <c r="BG28" s="853">
        <f t="shared" si="17"/>
        <v>0</v>
      </c>
      <c r="BH28" s="308">
        <f t="shared" si="18"/>
        <v>0</v>
      </c>
      <c r="BI28" s="853">
        <f t="shared" si="18"/>
        <v>0</v>
      </c>
      <c r="BJ28" s="777">
        <f t="shared" si="19"/>
        <v>0</v>
      </c>
      <c r="BK28" s="308">
        <f t="shared" si="20"/>
        <v>0</v>
      </c>
      <c r="BL28" s="83"/>
      <c r="BM28" s="686">
        <f t="shared" si="21"/>
        <v>0</v>
      </c>
      <c r="BN28" s="686">
        <f t="shared" si="21"/>
        <v>0</v>
      </c>
      <c r="BO28" s="686">
        <f t="shared" si="21"/>
        <v>0</v>
      </c>
      <c r="BP28" s="686">
        <f t="shared" si="21"/>
        <v>0</v>
      </c>
      <c r="BQ28" s="686">
        <f t="shared" si="21"/>
        <v>0</v>
      </c>
      <c r="BS28" s="122"/>
      <c r="BT28" s="351">
        <f t="shared" si="11"/>
        <v>0</v>
      </c>
      <c r="BU28" s="351">
        <f t="shared" si="12"/>
        <v>0</v>
      </c>
      <c r="BW28" s="124" t="s">
        <v>702</v>
      </c>
      <c r="BX28" s="124">
        <v>20</v>
      </c>
      <c r="BY28" s="592">
        <v>100</v>
      </c>
      <c r="BZ28" s="591">
        <v>2</v>
      </c>
      <c r="CA28" s="591">
        <v>3</v>
      </c>
      <c r="CB28" s="641">
        <v>60</v>
      </c>
      <c r="CC28" s="393">
        <v>1.2</v>
      </c>
      <c r="CD28" s="352">
        <f t="shared" si="0"/>
        <v>24</v>
      </c>
    </row>
    <row r="29" spans="1:84" ht="20.25" customHeight="1" x14ac:dyDescent="0.25">
      <c r="A29" s="342"/>
      <c r="B29" s="1215"/>
      <c r="C29" s="600" t="s">
        <v>31</v>
      </c>
      <c r="D29" s="408">
        <f t="shared" si="1"/>
        <v>0</v>
      </c>
      <c r="E29" s="427">
        <f t="shared" si="2"/>
        <v>0</v>
      </c>
      <c r="F29" s="1206"/>
      <c r="G29" s="413">
        <f t="shared" si="3"/>
        <v>0</v>
      </c>
      <c r="H29" s="602" t="s">
        <v>510</v>
      </c>
      <c r="I29" s="427">
        <f t="shared" si="4"/>
        <v>0</v>
      </c>
      <c r="J29" s="430" t="s">
        <v>31</v>
      </c>
      <c r="K29" s="606">
        <f t="shared" si="5"/>
        <v>0</v>
      </c>
      <c r="L29" s="408">
        <f t="shared" si="6"/>
        <v>0</v>
      </c>
      <c r="M29" s="1209"/>
      <c r="N29" s="450" t="s">
        <v>160</v>
      </c>
      <c r="O29" s="427">
        <f t="shared" si="7"/>
        <v>0</v>
      </c>
      <c r="P29" s="1212"/>
      <c r="Q29" s="747">
        <f t="shared" si="13"/>
        <v>0</v>
      </c>
      <c r="R29" s="608">
        <f t="shared" si="8"/>
        <v>0</v>
      </c>
      <c r="S29" s="479">
        <f t="shared" si="9"/>
        <v>0</v>
      </c>
      <c r="T29" s="435">
        <f t="shared" si="14"/>
        <v>0</v>
      </c>
      <c r="V29" s="852">
        <f t="shared" si="15"/>
        <v>0</v>
      </c>
      <c r="W29" s="852" t="str">
        <f t="shared" si="16"/>
        <v>keine</v>
      </c>
      <c r="X29" s="886"/>
      <c r="Y29" s="887" t="s">
        <v>805</v>
      </c>
      <c r="Z29" s="906">
        <v>0</v>
      </c>
      <c r="AA29" s="687">
        <f>VLOOKUP(Y29,Düngemittel!$B$6:$E$64,2,FALSE)*(VLOOKUP(Y29,Düngemittel!$B$6:$E$64,3,FALSE))/100*Z29</f>
        <v>0</v>
      </c>
      <c r="AB29" s="687">
        <f>VLOOKUP(Y29,Düngemittel!$B$6:$E$64,2,FALSE)*Z29</f>
        <v>0</v>
      </c>
      <c r="AC29" s="687">
        <f>VLOOKUP(Y29,Düngemittel!$B$6:$E$64,4,FALSE)*Z29</f>
        <v>0</v>
      </c>
      <c r="AE29" s="886"/>
      <c r="AF29" s="887" t="s">
        <v>805</v>
      </c>
      <c r="AG29" s="906">
        <v>0</v>
      </c>
      <c r="AH29" s="687">
        <f>VLOOKUP(AF29,Düngemittel!$B$6:$E$64,2,FALSE)*(VLOOKUP(AF29,Düngemittel!$B$6:$E$64,3,FALSE))/100*AG29</f>
        <v>0</v>
      </c>
      <c r="AI29" s="687">
        <f>VLOOKUP(AF29,Düngemittel!$B$6:$E$64,2,FALSE)*AG29</f>
        <v>0</v>
      </c>
      <c r="AJ29" s="687">
        <f>VLOOKUP(AF29,Düngemittel!$B$6:$E$64,4,FALSE)*AG29</f>
        <v>0</v>
      </c>
      <c r="AL29" s="886"/>
      <c r="AM29" s="887" t="s">
        <v>805</v>
      </c>
      <c r="AN29" s="906">
        <v>0</v>
      </c>
      <c r="AO29" s="687">
        <f>VLOOKUP(AM29,Düngemittel!$B$6:$E$64,2,FALSE)*(VLOOKUP(AM29,Düngemittel!$B$6:$E$64,3,FALSE))/100*AN29</f>
        <v>0</v>
      </c>
      <c r="AP29" s="687">
        <f>VLOOKUP(AM29,Düngemittel!$B$6:$E$64,2,FALSE)*AN29</f>
        <v>0</v>
      </c>
      <c r="AQ29" s="687">
        <f>VLOOKUP(AM29,Düngemittel!$B$6:$E$64,4,FALSE)*AN29</f>
        <v>0</v>
      </c>
      <c r="AS29" s="886"/>
      <c r="AT29" s="887" t="s">
        <v>805</v>
      </c>
      <c r="AU29" s="906">
        <v>0</v>
      </c>
      <c r="AV29" s="687">
        <f>VLOOKUP(AT29,Düngemittel!$B$6:$E$64,2,FALSE)*(VLOOKUP(AT29,Düngemittel!$B$6:$E$64,3,FALSE))/100*AU29</f>
        <v>0</v>
      </c>
      <c r="AW29" s="687">
        <f>VLOOKUP(AT29,Düngemittel!$B$6:$E$64,2,FALSE)*AU29</f>
        <v>0</v>
      </c>
      <c r="AX29" s="687">
        <f>VLOOKUP(AT29,Düngemittel!$B$6:$E$64,4,FALSE)*AU29</f>
        <v>0</v>
      </c>
      <c r="AZ29" s="886"/>
      <c r="BA29" s="887" t="s">
        <v>805</v>
      </c>
      <c r="BB29" s="906">
        <v>0</v>
      </c>
      <c r="BC29" s="687">
        <f>VLOOKUP(BA29,Düngemittel!$B$6:$E$64,2,FALSE)*(VLOOKUP(BA29,Düngemittel!$B$6:$E$64,3,FALSE))/100*BB29</f>
        <v>0</v>
      </c>
      <c r="BD29" s="687">
        <f>VLOOKUP(BA29,Düngemittel!$B$6:$E$64,2,FALSE)*BB29</f>
        <v>0</v>
      </c>
      <c r="BE29" s="687">
        <f>VLOOKUP(BA29,Düngemittel!$B$6:$E$64,4,FALSE)*BB29</f>
        <v>0</v>
      </c>
      <c r="BG29" s="853">
        <f t="shared" si="17"/>
        <v>0</v>
      </c>
      <c r="BH29" s="308">
        <f t="shared" si="18"/>
        <v>0</v>
      </c>
      <c r="BI29" s="853">
        <f t="shared" si="18"/>
        <v>0</v>
      </c>
      <c r="BJ29" s="777">
        <f t="shared" si="19"/>
        <v>0</v>
      </c>
      <c r="BK29" s="308">
        <f t="shared" si="20"/>
        <v>0</v>
      </c>
      <c r="BL29" s="83"/>
      <c r="BM29" s="686">
        <f t="shared" si="21"/>
        <v>0</v>
      </c>
      <c r="BN29" s="686">
        <f t="shared" si="21"/>
        <v>0</v>
      </c>
      <c r="BO29" s="686">
        <f t="shared" si="21"/>
        <v>0</v>
      </c>
      <c r="BP29" s="686">
        <f t="shared" si="21"/>
        <v>0</v>
      </c>
      <c r="BQ29" s="686">
        <f t="shared" si="21"/>
        <v>0</v>
      </c>
      <c r="BT29" s="351">
        <f t="shared" si="11"/>
        <v>0</v>
      </c>
      <c r="BU29" s="351">
        <f t="shared" si="12"/>
        <v>0</v>
      </c>
      <c r="BV29" s="112"/>
      <c r="BW29" s="240" t="s">
        <v>697</v>
      </c>
      <c r="BX29" s="240">
        <v>25</v>
      </c>
      <c r="BY29" s="594">
        <v>160</v>
      </c>
      <c r="BZ29" s="591">
        <v>2</v>
      </c>
      <c r="CA29" s="591">
        <v>3</v>
      </c>
      <c r="CB29" s="641">
        <v>60</v>
      </c>
      <c r="CC29" s="393">
        <v>1.77</v>
      </c>
      <c r="CD29" s="352">
        <f t="shared" si="0"/>
        <v>44.25</v>
      </c>
    </row>
    <row r="30" spans="1:84" ht="21" customHeight="1" x14ac:dyDescent="0.25">
      <c r="A30" s="342"/>
      <c r="B30" s="1215"/>
      <c r="C30" s="600" t="s">
        <v>31</v>
      </c>
      <c r="D30" s="408">
        <f t="shared" si="1"/>
        <v>0</v>
      </c>
      <c r="E30" s="427">
        <f t="shared" si="2"/>
        <v>0</v>
      </c>
      <c r="F30" s="1206"/>
      <c r="G30" s="413">
        <f t="shared" si="3"/>
        <v>0</v>
      </c>
      <c r="H30" s="602" t="s">
        <v>510</v>
      </c>
      <c r="I30" s="427">
        <f t="shared" si="4"/>
        <v>0</v>
      </c>
      <c r="J30" s="430" t="s">
        <v>31</v>
      </c>
      <c r="K30" s="606">
        <f t="shared" si="5"/>
        <v>0</v>
      </c>
      <c r="L30" s="408">
        <f t="shared" si="6"/>
        <v>0</v>
      </c>
      <c r="M30" s="1209"/>
      <c r="N30" s="450" t="s">
        <v>160</v>
      </c>
      <c r="O30" s="427">
        <f t="shared" si="7"/>
        <v>0</v>
      </c>
      <c r="P30" s="1212"/>
      <c r="Q30" s="747">
        <f t="shared" si="13"/>
        <v>0</v>
      </c>
      <c r="R30" s="608">
        <f t="shared" si="8"/>
        <v>0</v>
      </c>
      <c r="S30" s="479">
        <f t="shared" si="9"/>
        <v>0</v>
      </c>
      <c r="T30" s="435">
        <f t="shared" si="14"/>
        <v>0</v>
      </c>
      <c r="V30" s="852">
        <f t="shared" si="15"/>
        <v>0</v>
      </c>
      <c r="W30" s="852" t="str">
        <f t="shared" si="16"/>
        <v>keine</v>
      </c>
      <c r="X30" s="886"/>
      <c r="Y30" s="887" t="s">
        <v>805</v>
      </c>
      <c r="Z30" s="906">
        <v>0</v>
      </c>
      <c r="AA30" s="687">
        <f>VLOOKUP(Y30,Düngemittel!$B$6:$E$64,2,FALSE)*(VLOOKUP(Y30,Düngemittel!$B$6:$E$64,3,FALSE))/100*Z30</f>
        <v>0</v>
      </c>
      <c r="AB30" s="687">
        <f>VLOOKUP(Y30,Düngemittel!$B$6:$E$64,2,FALSE)*Z30</f>
        <v>0</v>
      </c>
      <c r="AC30" s="687">
        <f>VLOOKUP(Y30,Düngemittel!$B$6:$E$64,4,FALSE)*Z30</f>
        <v>0</v>
      </c>
      <c r="AE30" s="886"/>
      <c r="AF30" s="887" t="s">
        <v>805</v>
      </c>
      <c r="AG30" s="906">
        <v>0</v>
      </c>
      <c r="AH30" s="687">
        <f>VLOOKUP(AF30,Düngemittel!$B$6:$E$64,2,FALSE)*(VLOOKUP(AF30,Düngemittel!$B$6:$E$64,3,FALSE))/100*AG30</f>
        <v>0</v>
      </c>
      <c r="AI30" s="687">
        <f>VLOOKUP(AF30,Düngemittel!$B$6:$E$64,2,FALSE)*AG30</f>
        <v>0</v>
      </c>
      <c r="AJ30" s="687">
        <f>VLOOKUP(AF30,Düngemittel!$B$6:$E$64,4,FALSE)*AG30</f>
        <v>0</v>
      </c>
      <c r="AL30" s="886"/>
      <c r="AM30" s="887" t="s">
        <v>805</v>
      </c>
      <c r="AN30" s="906">
        <v>0</v>
      </c>
      <c r="AO30" s="687">
        <f>VLOOKUP(AM30,Düngemittel!$B$6:$E$64,2,FALSE)*(VLOOKUP(AM30,Düngemittel!$B$6:$E$64,3,FALSE))/100*AN30</f>
        <v>0</v>
      </c>
      <c r="AP30" s="687">
        <f>VLOOKUP(AM30,Düngemittel!$B$6:$E$64,2,FALSE)*AN30</f>
        <v>0</v>
      </c>
      <c r="AQ30" s="687">
        <f>VLOOKUP(AM30,Düngemittel!$B$6:$E$64,4,FALSE)*AN30</f>
        <v>0</v>
      </c>
      <c r="AS30" s="886"/>
      <c r="AT30" s="887" t="s">
        <v>805</v>
      </c>
      <c r="AU30" s="906">
        <v>0</v>
      </c>
      <c r="AV30" s="687">
        <f>VLOOKUP(AT30,Düngemittel!$B$6:$E$64,2,FALSE)*(VLOOKUP(AT30,Düngemittel!$B$6:$E$64,3,FALSE))/100*AU30</f>
        <v>0</v>
      </c>
      <c r="AW30" s="687">
        <f>VLOOKUP(AT30,Düngemittel!$B$6:$E$64,2,FALSE)*AU30</f>
        <v>0</v>
      </c>
      <c r="AX30" s="687">
        <f>VLOOKUP(AT30,Düngemittel!$B$6:$E$64,4,FALSE)*AU30</f>
        <v>0</v>
      </c>
      <c r="AZ30" s="886"/>
      <c r="BA30" s="887" t="s">
        <v>805</v>
      </c>
      <c r="BB30" s="906">
        <v>0</v>
      </c>
      <c r="BC30" s="687">
        <f>VLOOKUP(BA30,Düngemittel!$B$6:$E$64,2,FALSE)*(VLOOKUP(BA30,Düngemittel!$B$6:$E$64,3,FALSE))/100*BB30</f>
        <v>0</v>
      </c>
      <c r="BD30" s="687">
        <f>VLOOKUP(BA30,Düngemittel!$B$6:$E$64,2,FALSE)*BB30</f>
        <v>0</v>
      </c>
      <c r="BE30" s="687">
        <f>VLOOKUP(BA30,Düngemittel!$B$6:$E$64,4,FALSE)*BB30</f>
        <v>0</v>
      </c>
      <c r="BG30" s="853">
        <f t="shared" si="17"/>
        <v>0</v>
      </c>
      <c r="BH30" s="308">
        <f t="shared" si="18"/>
        <v>0</v>
      </c>
      <c r="BI30" s="853">
        <f t="shared" si="18"/>
        <v>0</v>
      </c>
      <c r="BJ30" s="777">
        <f t="shared" si="19"/>
        <v>0</v>
      </c>
      <c r="BK30" s="308">
        <f t="shared" si="20"/>
        <v>0</v>
      </c>
      <c r="BL30" s="83"/>
      <c r="BM30" s="686">
        <f t="shared" si="21"/>
        <v>0</v>
      </c>
      <c r="BN30" s="686">
        <f t="shared" si="21"/>
        <v>0</v>
      </c>
      <c r="BO30" s="686">
        <f t="shared" si="21"/>
        <v>0</v>
      </c>
      <c r="BP30" s="686">
        <f t="shared" si="21"/>
        <v>0</v>
      </c>
      <c r="BQ30" s="686">
        <f t="shared" si="21"/>
        <v>0</v>
      </c>
      <c r="BT30" s="351">
        <f t="shared" si="11"/>
        <v>0</v>
      </c>
      <c r="BU30" s="351">
        <f t="shared" si="12"/>
        <v>0</v>
      </c>
      <c r="BV30" s="112"/>
      <c r="BW30" s="580" t="s">
        <v>770</v>
      </c>
      <c r="BX30" s="580">
        <v>500</v>
      </c>
      <c r="BY30" s="591">
        <v>140</v>
      </c>
      <c r="BZ30" s="642">
        <v>0.2</v>
      </c>
      <c r="CA30" s="642">
        <v>0.3</v>
      </c>
      <c r="CB30" s="641">
        <v>60</v>
      </c>
      <c r="CC30" s="393">
        <v>0.14000000000000001</v>
      </c>
      <c r="CD30" s="352">
        <f t="shared" si="0"/>
        <v>70</v>
      </c>
    </row>
    <row r="31" spans="1:84" ht="25.5" customHeight="1" thickBot="1" x14ac:dyDescent="0.3">
      <c r="A31" s="381"/>
      <c r="B31" s="1216"/>
      <c r="C31" s="807" t="s">
        <v>31</v>
      </c>
      <c r="D31" s="410">
        <f>VLOOKUP(C31,BW$3:CA$58,2,FALSE)</f>
        <v>0</v>
      </c>
      <c r="E31" s="601">
        <f t="shared" si="2"/>
        <v>0</v>
      </c>
      <c r="F31" s="1207"/>
      <c r="G31" s="414">
        <f t="shared" si="3"/>
        <v>0</v>
      </c>
      <c r="H31" s="603" t="s">
        <v>510</v>
      </c>
      <c r="I31" s="428">
        <f t="shared" si="4"/>
        <v>0</v>
      </c>
      <c r="J31" s="431" t="s">
        <v>31</v>
      </c>
      <c r="K31" s="607">
        <f t="shared" si="5"/>
        <v>0</v>
      </c>
      <c r="L31" s="410">
        <f t="shared" si="6"/>
        <v>0</v>
      </c>
      <c r="M31" s="1210"/>
      <c r="N31" s="454" t="s">
        <v>160</v>
      </c>
      <c r="O31" s="428">
        <f t="shared" si="7"/>
        <v>0</v>
      </c>
      <c r="P31" s="1213"/>
      <c r="Q31" s="482">
        <f t="shared" si="13"/>
        <v>0</v>
      </c>
      <c r="R31" s="609">
        <f t="shared" si="8"/>
        <v>0</v>
      </c>
      <c r="S31" s="480">
        <f>F31*VLOOKUP(C31,BW$3:CC$58,7,FALSE)</f>
        <v>0</v>
      </c>
      <c r="T31" s="481">
        <f t="shared" si="14"/>
        <v>0</v>
      </c>
      <c r="V31" s="852">
        <f t="shared" si="15"/>
        <v>0</v>
      </c>
      <c r="W31" s="852" t="str">
        <f t="shared" si="16"/>
        <v>keine</v>
      </c>
      <c r="X31" s="886"/>
      <c r="Y31" s="887" t="s">
        <v>805</v>
      </c>
      <c r="Z31" s="906">
        <v>0</v>
      </c>
      <c r="AA31" s="687">
        <f>VLOOKUP(Y31,Düngemittel!$B$6:$E$64,2,FALSE)*(VLOOKUP(Y31,Düngemittel!$B$6:$E$64,3,FALSE))/100*Z31</f>
        <v>0</v>
      </c>
      <c r="AB31" s="687">
        <f>VLOOKUP(Y31,Düngemittel!$B$6:$E$64,2,FALSE)*Z31</f>
        <v>0</v>
      </c>
      <c r="AC31" s="687">
        <f>VLOOKUP(Y31,Düngemittel!$B$6:$E$64,4,FALSE)*Z31</f>
        <v>0</v>
      </c>
      <c r="AE31" s="886"/>
      <c r="AF31" s="887" t="s">
        <v>805</v>
      </c>
      <c r="AG31" s="906">
        <v>0</v>
      </c>
      <c r="AH31" s="687">
        <f>VLOOKUP(AF31,Düngemittel!$B$6:$E$64,2,FALSE)*(VLOOKUP(AF31,Düngemittel!$B$6:$E$64,3,FALSE))/100*AG31</f>
        <v>0</v>
      </c>
      <c r="AI31" s="687">
        <f>VLOOKUP(AF31,Düngemittel!$B$6:$E$64,2,FALSE)*AG31</f>
        <v>0</v>
      </c>
      <c r="AJ31" s="687">
        <f>VLOOKUP(AF31,Düngemittel!$B$6:$E$64,4,FALSE)*AG31</f>
        <v>0</v>
      </c>
      <c r="AL31" s="886"/>
      <c r="AM31" s="887" t="s">
        <v>805</v>
      </c>
      <c r="AN31" s="906">
        <v>0</v>
      </c>
      <c r="AO31" s="687">
        <f>VLOOKUP(AM31,Düngemittel!$B$6:$E$64,2,FALSE)*(VLOOKUP(AM31,Düngemittel!$B$6:$E$64,3,FALSE))/100*AN31</f>
        <v>0</v>
      </c>
      <c r="AP31" s="687">
        <f>VLOOKUP(AM31,Düngemittel!$B$6:$E$64,2,FALSE)*AN31</f>
        <v>0</v>
      </c>
      <c r="AQ31" s="687">
        <f>VLOOKUP(AM31,Düngemittel!$B$6:$E$64,4,FALSE)*AN31</f>
        <v>0</v>
      </c>
      <c r="AS31" s="886"/>
      <c r="AT31" s="887" t="s">
        <v>805</v>
      </c>
      <c r="AU31" s="906">
        <v>0</v>
      </c>
      <c r="AV31" s="687">
        <f>VLOOKUP(AT31,Düngemittel!$B$6:$E$64,2,FALSE)*(VLOOKUP(AT31,Düngemittel!$B$6:$E$64,3,FALSE))/100*AU31</f>
        <v>0</v>
      </c>
      <c r="AW31" s="687">
        <f>VLOOKUP(AT31,Düngemittel!$B$6:$E$64,2,FALSE)*AU31</f>
        <v>0</v>
      </c>
      <c r="AX31" s="687">
        <f>VLOOKUP(AT31,Düngemittel!$B$6:$E$64,4,FALSE)*AU31</f>
        <v>0</v>
      </c>
      <c r="AZ31" s="886"/>
      <c r="BA31" s="887" t="s">
        <v>805</v>
      </c>
      <c r="BB31" s="906">
        <v>0</v>
      </c>
      <c r="BC31" s="687">
        <f>VLOOKUP(BA31,Düngemittel!$B$6:$E$64,2,FALSE)*(VLOOKUP(BA31,Düngemittel!$B$6:$E$64,3,FALSE))/100*BB31</f>
        <v>0</v>
      </c>
      <c r="BD31" s="687">
        <f>VLOOKUP(BA31,Düngemittel!$B$6:$E$64,2,FALSE)*BB31</f>
        <v>0</v>
      </c>
      <c r="BE31" s="687">
        <f>VLOOKUP(BA31,Düngemittel!$B$6:$E$64,4,FALSE)*BB31</f>
        <v>0</v>
      </c>
      <c r="BG31" s="853">
        <f t="shared" si="17"/>
        <v>0</v>
      </c>
      <c r="BH31" s="308">
        <f t="shared" si="18"/>
        <v>0</v>
      </c>
      <c r="BI31" s="853">
        <f t="shared" si="18"/>
        <v>0</v>
      </c>
      <c r="BJ31" s="777">
        <f t="shared" si="19"/>
        <v>0</v>
      </c>
      <c r="BK31" s="308">
        <f t="shared" si="20"/>
        <v>0</v>
      </c>
      <c r="BL31" s="83"/>
      <c r="BM31" s="686">
        <f t="shared" si="21"/>
        <v>0</v>
      </c>
      <c r="BN31" s="686">
        <f t="shared" si="21"/>
        <v>0</v>
      </c>
      <c r="BO31" s="686">
        <f t="shared" si="21"/>
        <v>0</v>
      </c>
      <c r="BP31" s="686">
        <f t="shared" si="21"/>
        <v>0</v>
      </c>
      <c r="BQ31" s="686">
        <f t="shared" si="21"/>
        <v>0</v>
      </c>
      <c r="BT31" s="351">
        <f t="shared" si="11"/>
        <v>0</v>
      </c>
      <c r="BU31" s="351">
        <f t="shared" si="12"/>
        <v>0</v>
      </c>
      <c r="BW31" s="124" t="s">
        <v>696</v>
      </c>
      <c r="BX31" s="124">
        <v>450</v>
      </c>
      <c r="BY31" s="592">
        <v>200</v>
      </c>
      <c r="BZ31" s="593">
        <v>0.2</v>
      </c>
      <c r="CA31" s="593">
        <v>0.3</v>
      </c>
      <c r="CB31" s="641">
        <v>90</v>
      </c>
      <c r="CC31" s="393">
        <v>0.16</v>
      </c>
      <c r="CD31" s="352">
        <f t="shared" si="0"/>
        <v>72</v>
      </c>
    </row>
    <row r="32" spans="1:84" ht="25.5" customHeight="1" thickBot="1" x14ac:dyDescent="0.3">
      <c r="A32" s="382" t="s">
        <v>292</v>
      </c>
      <c r="B32" s="808">
        <f>SUM(B8:B31)</f>
        <v>0</v>
      </c>
      <c r="C32" s="809" t="s">
        <v>1077</v>
      </c>
      <c r="D32" s="371"/>
      <c r="E32" s="371"/>
      <c r="F32" s="371"/>
      <c r="G32" s="371"/>
      <c r="H32" s="375"/>
      <c r="I32" s="375"/>
      <c r="J32" s="375"/>
      <c r="K32" s="375"/>
      <c r="L32" s="371"/>
      <c r="M32" s="371"/>
      <c r="N32" s="375"/>
      <c r="O32" s="375"/>
      <c r="P32" s="375"/>
      <c r="Q32" s="385" t="s">
        <v>543</v>
      </c>
      <c r="R32" s="395">
        <f>SUM(R8:R31)</f>
        <v>0</v>
      </c>
      <c r="S32" s="502"/>
      <c r="T32" s="478">
        <f>SUM(T8:T31)</f>
        <v>0</v>
      </c>
      <c r="BF32" s="183"/>
      <c r="BG32" s="183"/>
      <c r="BH32" s="475"/>
      <c r="BM32" s="851">
        <f>SUM(BM8:BM31)</f>
        <v>0</v>
      </c>
      <c r="BN32" s="851">
        <f>SUM(BN8:BN31)</f>
        <v>0</v>
      </c>
      <c r="BO32" s="851">
        <f t="shared" ref="BO32:BQ32" si="22">SUM(BO8:BO31)</f>
        <v>0</v>
      </c>
      <c r="BP32" s="778">
        <f t="shared" si="22"/>
        <v>0</v>
      </c>
      <c r="BQ32" s="851">
        <f t="shared" si="22"/>
        <v>0</v>
      </c>
      <c r="BR32" s="782" t="s">
        <v>1097</v>
      </c>
      <c r="BS32" s="475"/>
      <c r="BW32" s="124" t="s">
        <v>41</v>
      </c>
      <c r="BX32" s="124">
        <v>50</v>
      </c>
      <c r="BY32" s="124">
        <v>140</v>
      </c>
      <c r="BZ32" s="124">
        <v>1</v>
      </c>
      <c r="CA32" s="124">
        <v>1.5</v>
      </c>
      <c r="CB32" s="641">
        <v>60</v>
      </c>
      <c r="CC32" s="393">
        <v>0.8</v>
      </c>
      <c r="CD32" s="352">
        <f t="shared" si="0"/>
        <v>40</v>
      </c>
    </row>
    <row r="33" spans="1:82" ht="24.75" customHeight="1" x14ac:dyDescent="0.25">
      <c r="A33" s="118"/>
      <c r="B33" s="112"/>
      <c r="D33" s="80"/>
      <c r="E33" s="112"/>
      <c r="J33" s="151"/>
      <c r="Q33" s="21"/>
      <c r="R33" s="1310" t="s">
        <v>1118</v>
      </c>
      <c r="T33" s="1310" t="s">
        <v>1119</v>
      </c>
      <c r="BG33" s="462" t="e">
        <f t="shared" ref="BG33:BK33" si="23">BM33</f>
        <v>#DIV/0!</v>
      </c>
      <c r="BH33" s="462" t="e">
        <f t="shared" si="23"/>
        <v>#DIV/0!</v>
      </c>
      <c r="BI33" s="462" t="e">
        <f t="shared" si="23"/>
        <v>#DIV/0!</v>
      </c>
      <c r="BJ33" s="777" t="e">
        <f t="shared" si="23"/>
        <v>#DIV/0!</v>
      </c>
      <c r="BK33" s="308" t="e">
        <f t="shared" si="23"/>
        <v>#DIV/0!</v>
      </c>
      <c r="BM33" s="779" t="e">
        <f>BM32/$B32</f>
        <v>#DIV/0!</v>
      </c>
      <c r="BN33" s="308" t="e">
        <f>BN32/$B32</f>
        <v>#DIV/0!</v>
      </c>
      <c r="BO33" s="779" t="e">
        <f>BO32/$B32</f>
        <v>#DIV/0!</v>
      </c>
      <c r="BP33" s="777" t="e">
        <f>BP32/$B32</f>
        <v>#DIV/0!</v>
      </c>
      <c r="BQ33" s="308" t="e">
        <f>BQ32/$B32</f>
        <v>#DIV/0!</v>
      </c>
      <c r="BR33" s="782" t="s">
        <v>1076</v>
      </c>
      <c r="BW33" s="580" t="s">
        <v>708</v>
      </c>
      <c r="BX33" s="580">
        <v>350</v>
      </c>
      <c r="BY33" s="580">
        <v>180</v>
      </c>
      <c r="BZ33" s="580">
        <v>0.2</v>
      </c>
      <c r="CA33" s="580">
        <v>0.3</v>
      </c>
      <c r="CB33" s="641">
        <v>60</v>
      </c>
      <c r="CC33" s="393">
        <v>0.23</v>
      </c>
      <c r="CD33" s="352">
        <f t="shared" si="0"/>
        <v>80.5</v>
      </c>
    </row>
    <row r="34" spans="1:82" ht="56.25" customHeight="1" thickBot="1" x14ac:dyDescent="0.3">
      <c r="A34" s="80"/>
      <c r="B34" s="770"/>
      <c r="D34" s="80"/>
      <c r="E34" s="112"/>
      <c r="J34" s="151"/>
      <c r="P34" s="357"/>
      <c r="Q34" s="804"/>
      <c r="R34" s="1311"/>
      <c r="S34" s="476"/>
      <c r="T34" s="1311"/>
      <c r="U34" s="611"/>
      <c r="V34" s="611"/>
      <c r="W34" s="611"/>
      <c r="X34" s="611"/>
      <c r="Y34" s="611"/>
      <c r="Z34" s="611"/>
      <c r="AA34" s="611"/>
      <c r="AB34" s="611"/>
      <c r="AC34" s="611"/>
      <c r="AD34" s="611"/>
      <c r="AE34" s="611"/>
      <c r="AF34" s="611"/>
      <c r="AG34" s="611"/>
      <c r="AH34" s="611"/>
      <c r="AI34" s="611"/>
      <c r="AJ34" s="611"/>
      <c r="AK34" s="611"/>
      <c r="AL34" s="611"/>
      <c r="AM34" s="611"/>
      <c r="AN34" s="611"/>
      <c r="AO34" s="611"/>
      <c r="AP34" s="611"/>
      <c r="AQ34" s="611"/>
      <c r="AR34" s="611"/>
      <c r="AS34" s="611"/>
      <c r="AT34" s="611"/>
      <c r="AU34" s="611"/>
      <c r="AV34" s="611"/>
      <c r="AW34" s="611"/>
      <c r="AX34" s="611"/>
      <c r="AY34" s="611"/>
      <c r="AZ34" s="611"/>
      <c r="BA34" s="611"/>
      <c r="BB34" s="611"/>
      <c r="BC34" s="611"/>
      <c r="BD34" s="611"/>
      <c r="BE34" s="611"/>
      <c r="BF34" s="611"/>
      <c r="BG34" s="775" t="s">
        <v>1096</v>
      </c>
      <c r="BH34" s="312" t="s">
        <v>1082</v>
      </c>
      <c r="BI34" s="312" t="s">
        <v>1083</v>
      </c>
      <c r="BJ34" s="699" t="s">
        <v>1268</v>
      </c>
      <c r="BK34" s="312" t="s">
        <v>290</v>
      </c>
      <c r="BL34" s="611"/>
      <c r="BM34" s="780" t="s">
        <v>1096</v>
      </c>
      <c r="BN34" s="312" t="s">
        <v>1082</v>
      </c>
      <c r="BO34" s="781" t="s">
        <v>1098</v>
      </c>
      <c r="BP34" s="699" t="s">
        <v>1268</v>
      </c>
      <c r="BQ34" s="312" t="s">
        <v>290</v>
      </c>
      <c r="BR34" s="122"/>
      <c r="BS34" s="611"/>
      <c r="BT34" s="122"/>
      <c r="BU34" s="122"/>
      <c r="BW34" s="598" t="s">
        <v>727</v>
      </c>
      <c r="BX34" s="598">
        <v>350</v>
      </c>
      <c r="BY34" s="598">
        <v>140</v>
      </c>
      <c r="BZ34" s="598">
        <v>0.15</v>
      </c>
      <c r="CA34" s="598">
        <v>0.23</v>
      </c>
      <c r="CB34" s="641">
        <v>60</v>
      </c>
      <c r="CC34" s="393">
        <v>0.23</v>
      </c>
      <c r="CD34" s="352">
        <f t="shared" si="0"/>
        <v>80.5</v>
      </c>
    </row>
    <row r="35" spans="1:82" ht="25.5" customHeight="1" x14ac:dyDescent="0.25">
      <c r="B35" s="112"/>
      <c r="D35" s="80"/>
      <c r="E35" s="112"/>
      <c r="J35" s="151"/>
      <c r="U35" s="611"/>
      <c r="V35" s="611"/>
      <c r="W35" s="611"/>
      <c r="X35" s="611"/>
      <c r="Y35" s="611"/>
      <c r="Z35" s="122"/>
      <c r="AA35" s="122"/>
      <c r="AB35" s="122"/>
      <c r="AC35" s="122"/>
      <c r="AD35" s="122"/>
      <c r="AE35" s="122"/>
      <c r="AF35" s="122"/>
      <c r="AG35" s="122"/>
      <c r="AH35" s="122"/>
      <c r="AI35" s="122"/>
      <c r="AJ35" s="122"/>
      <c r="AK35" s="122"/>
      <c r="AL35" s="122"/>
      <c r="AM35" s="122"/>
      <c r="AN35" s="122"/>
      <c r="AO35" s="122"/>
      <c r="AP35" s="122"/>
      <c r="AQ35" s="122"/>
      <c r="AR35" s="122"/>
      <c r="AS35" s="122"/>
      <c r="AT35" s="122"/>
      <c r="AU35" s="122"/>
      <c r="AV35" s="122"/>
      <c r="AW35" s="122"/>
      <c r="AX35" s="122"/>
      <c r="AY35" s="122"/>
      <c r="AZ35" s="122"/>
      <c r="BA35" s="122"/>
      <c r="BB35" s="122"/>
      <c r="BC35" s="122"/>
      <c r="BD35" s="122"/>
      <c r="BE35" s="122"/>
      <c r="BF35" s="122"/>
      <c r="BG35" s="122"/>
      <c r="BH35" s="122"/>
      <c r="BI35" s="122"/>
      <c r="BJ35" s="122"/>
      <c r="BK35" s="122"/>
      <c r="BL35" s="122"/>
      <c r="BM35" s="122"/>
      <c r="BN35" s="122"/>
      <c r="BO35" s="122"/>
      <c r="BP35" s="122"/>
      <c r="BQ35" s="122"/>
      <c r="BR35" s="122"/>
      <c r="BS35" s="122"/>
      <c r="BT35" s="122"/>
      <c r="BU35" s="122"/>
      <c r="BW35" s="598" t="s">
        <v>740</v>
      </c>
      <c r="BX35" s="598">
        <v>350</v>
      </c>
      <c r="BY35" s="598">
        <v>100</v>
      </c>
      <c r="BZ35" s="598">
        <v>0.1</v>
      </c>
      <c r="CA35" s="598">
        <v>0.15</v>
      </c>
      <c r="CB35" s="641">
        <v>60</v>
      </c>
      <c r="CC35" s="393">
        <v>0.23</v>
      </c>
      <c r="CD35" s="352">
        <f t="shared" si="0"/>
        <v>80.5</v>
      </c>
    </row>
    <row r="36" spans="1:82" ht="21" customHeight="1" x14ac:dyDescent="0.25">
      <c r="A36" s="1320" t="s">
        <v>1084</v>
      </c>
      <c r="B36" s="1321"/>
      <c r="C36" s="1328" t="s">
        <v>1085</v>
      </c>
      <c r="D36" s="1329"/>
      <c r="E36" s="1329"/>
      <c r="F36" s="1329"/>
      <c r="G36" s="1329"/>
      <c r="H36" s="1329"/>
      <c r="I36" s="1329"/>
      <c r="J36" s="1329"/>
      <c r="K36" s="1329"/>
      <c r="L36" s="1329"/>
      <c r="M36" s="1329"/>
      <c r="N36" s="1329"/>
      <c r="O36" s="1330"/>
      <c r="P36" s="1330"/>
      <c r="Q36" s="1330"/>
      <c r="R36" s="1330"/>
      <c r="S36" s="1331"/>
      <c r="T36" s="1332"/>
      <c r="U36" s="611"/>
      <c r="V36" s="611"/>
      <c r="W36" s="611"/>
      <c r="X36" s="611"/>
      <c r="Y36" s="611"/>
      <c r="Z36" s="122"/>
      <c r="AA36" s="122"/>
      <c r="AB36" s="122"/>
      <c r="AC36" s="122"/>
      <c r="AD36" s="122"/>
      <c r="AE36" s="122"/>
      <c r="AF36" s="122"/>
      <c r="AG36" s="122"/>
      <c r="AH36" s="122"/>
      <c r="AI36" s="122"/>
      <c r="AJ36" s="122"/>
      <c r="AK36" s="122"/>
      <c r="AL36" s="122"/>
      <c r="AM36" s="122"/>
      <c r="AN36" s="122"/>
      <c r="AO36" s="122"/>
      <c r="AP36" s="122"/>
      <c r="AQ36" s="122"/>
      <c r="AR36" s="122"/>
      <c r="AS36" s="122"/>
      <c r="AT36" s="122"/>
      <c r="AU36" s="122"/>
      <c r="AV36" s="122"/>
      <c r="AW36" s="122"/>
      <c r="AX36" s="122"/>
      <c r="AY36" s="122"/>
      <c r="AZ36" s="122"/>
      <c r="BA36" s="122"/>
      <c r="BB36" s="122"/>
      <c r="BC36" s="122"/>
      <c r="BD36" s="122"/>
      <c r="BE36" s="122"/>
      <c r="BF36" s="122"/>
      <c r="BG36" s="122"/>
      <c r="BH36" s="122"/>
      <c r="BI36" s="122"/>
      <c r="BJ36" s="122"/>
      <c r="BK36" s="122"/>
      <c r="BL36" s="122"/>
      <c r="BM36" s="122"/>
      <c r="BN36" s="122"/>
      <c r="BO36" s="122"/>
      <c r="BP36" s="122"/>
      <c r="BQ36" s="122"/>
      <c r="BR36" s="122"/>
      <c r="BS36" s="122"/>
      <c r="BT36" s="122"/>
      <c r="BU36" s="122"/>
      <c r="BW36" s="240" t="s">
        <v>762</v>
      </c>
      <c r="BX36" s="240">
        <v>30</v>
      </c>
      <c r="BY36" s="240">
        <v>190</v>
      </c>
      <c r="BZ36" s="240">
        <v>2</v>
      </c>
      <c r="CA36" s="240">
        <v>3</v>
      </c>
      <c r="CB36" s="641">
        <v>60</v>
      </c>
      <c r="CC36" s="393">
        <v>1.8</v>
      </c>
      <c r="CD36" s="352">
        <f t="shared" si="0"/>
        <v>54</v>
      </c>
    </row>
    <row r="37" spans="1:82" ht="21" customHeight="1" x14ac:dyDescent="0.25">
      <c r="A37" s="1322"/>
      <c r="B37" s="1323"/>
      <c r="C37" s="1333"/>
      <c r="D37" s="1334"/>
      <c r="E37" s="1334"/>
      <c r="F37" s="1334"/>
      <c r="G37" s="1334"/>
      <c r="H37" s="1334"/>
      <c r="I37" s="1334"/>
      <c r="J37" s="1334"/>
      <c r="K37" s="1334"/>
      <c r="L37" s="1334"/>
      <c r="M37" s="1334"/>
      <c r="N37" s="1334"/>
      <c r="O37" s="1335"/>
      <c r="P37" s="1335"/>
      <c r="Q37" s="1335"/>
      <c r="R37" s="1335"/>
      <c r="S37" s="1336"/>
      <c r="T37" s="1337"/>
      <c r="U37" s="611"/>
      <c r="V37" s="611"/>
      <c r="W37" s="611"/>
      <c r="X37" s="611"/>
      <c r="Y37" s="611"/>
      <c r="Z37" s="122"/>
      <c r="AA37" s="122"/>
      <c r="AB37" s="122"/>
      <c r="AC37" s="122"/>
      <c r="AD37" s="122"/>
      <c r="AE37" s="122"/>
      <c r="AF37" s="122"/>
      <c r="AG37" s="122"/>
      <c r="AH37" s="122"/>
      <c r="AI37" s="122"/>
      <c r="AJ37" s="122"/>
      <c r="AK37" s="122"/>
      <c r="AL37" s="122"/>
      <c r="AM37" s="122"/>
      <c r="AN37" s="122"/>
      <c r="AO37" s="122"/>
      <c r="AP37" s="122"/>
      <c r="AQ37" s="122"/>
      <c r="AR37" s="122"/>
      <c r="AS37" s="122"/>
      <c r="AT37" s="122"/>
      <c r="AU37" s="122"/>
      <c r="AV37" s="122"/>
      <c r="AW37" s="122"/>
      <c r="AX37" s="122"/>
      <c r="AY37" s="122"/>
      <c r="AZ37" s="122"/>
      <c r="BA37" s="122"/>
      <c r="BB37" s="122"/>
      <c r="BC37" s="122"/>
      <c r="BD37" s="122"/>
      <c r="BE37" s="122"/>
      <c r="BF37" s="122"/>
      <c r="BG37" s="122"/>
      <c r="BH37" s="122"/>
      <c r="BI37" s="122"/>
      <c r="BJ37" s="122"/>
      <c r="BK37" s="122"/>
      <c r="BL37" s="122"/>
      <c r="BM37" s="122"/>
      <c r="BN37" s="122"/>
      <c r="BO37" s="122"/>
      <c r="BP37" s="122"/>
      <c r="BQ37" s="122"/>
      <c r="BR37" s="122"/>
      <c r="BS37" s="122"/>
      <c r="BT37" s="122"/>
      <c r="BU37" s="122"/>
      <c r="BW37" s="124" t="s">
        <v>687</v>
      </c>
      <c r="BX37" s="124">
        <v>60</v>
      </c>
      <c r="BY37" s="597">
        <v>160</v>
      </c>
      <c r="BZ37" s="124">
        <v>1</v>
      </c>
      <c r="CA37" s="124">
        <v>1.5</v>
      </c>
      <c r="CB37" s="641">
        <v>60</v>
      </c>
      <c r="CC37" s="393">
        <v>0.8</v>
      </c>
      <c r="CD37" s="352">
        <f t="shared" si="0"/>
        <v>48</v>
      </c>
    </row>
    <row r="38" spans="1:82" ht="21" customHeight="1" x14ac:dyDescent="0.25">
      <c r="A38" s="1324"/>
      <c r="B38" s="1325"/>
      <c r="C38" s="1338"/>
      <c r="D38" s="1335"/>
      <c r="E38" s="1335"/>
      <c r="F38" s="1335"/>
      <c r="G38" s="1335"/>
      <c r="H38" s="1335"/>
      <c r="I38" s="1335"/>
      <c r="J38" s="1335"/>
      <c r="K38" s="1335"/>
      <c r="L38" s="1335"/>
      <c r="M38" s="1335"/>
      <c r="N38" s="1335"/>
      <c r="O38" s="1335"/>
      <c r="P38" s="1335"/>
      <c r="Q38" s="1335"/>
      <c r="R38" s="1335"/>
      <c r="S38" s="1336"/>
      <c r="T38" s="1337"/>
      <c r="U38" s="611"/>
      <c r="V38" s="611"/>
      <c r="W38" s="611"/>
      <c r="X38" s="611"/>
      <c r="Y38" s="611"/>
      <c r="Z38" s="122"/>
      <c r="AA38" s="122"/>
      <c r="AB38" s="122"/>
      <c r="AC38" s="122"/>
      <c r="AD38" s="122"/>
      <c r="AE38" s="122"/>
      <c r="AF38" s="122"/>
      <c r="AG38" s="122"/>
      <c r="AH38" s="122"/>
      <c r="AI38" s="122"/>
      <c r="AJ38" s="122"/>
      <c r="AK38" s="122"/>
      <c r="AL38" s="122"/>
      <c r="AM38" s="122"/>
      <c r="AN38" s="122"/>
      <c r="AO38" s="122"/>
      <c r="AP38" s="122"/>
      <c r="AQ38" s="122"/>
      <c r="AR38" s="122"/>
      <c r="AS38" s="122"/>
      <c r="AT38" s="122"/>
      <c r="AU38" s="122"/>
      <c r="AV38" s="122"/>
      <c r="AW38" s="122"/>
      <c r="AX38" s="122"/>
      <c r="AY38" s="122"/>
      <c r="AZ38" s="122"/>
      <c r="BA38" s="122"/>
      <c r="BB38" s="122"/>
      <c r="BC38" s="122"/>
      <c r="BD38" s="122"/>
      <c r="BE38" s="122"/>
      <c r="BF38" s="122"/>
      <c r="BG38" s="122"/>
      <c r="BH38" s="122"/>
      <c r="BI38" s="122"/>
      <c r="BJ38" s="122"/>
      <c r="BK38" s="122"/>
      <c r="BL38" s="122"/>
      <c r="BM38" s="122"/>
      <c r="BS38" s="122"/>
      <c r="BT38" s="122"/>
      <c r="BU38" s="122"/>
      <c r="BW38" s="598" t="s">
        <v>688</v>
      </c>
      <c r="BX38" s="598">
        <v>60</v>
      </c>
      <c r="BY38" s="598">
        <v>180</v>
      </c>
      <c r="BZ38" s="124">
        <v>1</v>
      </c>
      <c r="CA38" s="124">
        <v>1.5</v>
      </c>
      <c r="CB38" s="641">
        <v>60</v>
      </c>
      <c r="CC38" s="393">
        <v>0.8</v>
      </c>
      <c r="CD38" s="352">
        <f t="shared" si="0"/>
        <v>48</v>
      </c>
    </row>
    <row r="39" spans="1:82" ht="21" customHeight="1" x14ac:dyDescent="0.25">
      <c r="A39" s="1324"/>
      <c r="B39" s="1325"/>
      <c r="C39" s="1338"/>
      <c r="D39" s="1335"/>
      <c r="E39" s="1335"/>
      <c r="F39" s="1335"/>
      <c r="G39" s="1335"/>
      <c r="H39" s="1335"/>
      <c r="I39" s="1335"/>
      <c r="J39" s="1335"/>
      <c r="K39" s="1335"/>
      <c r="L39" s="1335"/>
      <c r="M39" s="1335"/>
      <c r="N39" s="1335"/>
      <c r="O39" s="1335"/>
      <c r="P39" s="1335"/>
      <c r="Q39" s="1335"/>
      <c r="R39" s="1335"/>
      <c r="S39" s="1336"/>
      <c r="T39" s="1337"/>
      <c r="BW39" s="580" t="s">
        <v>685</v>
      </c>
      <c r="BX39" s="580">
        <v>70</v>
      </c>
      <c r="BY39" s="580">
        <v>220</v>
      </c>
      <c r="BZ39" s="580">
        <v>1</v>
      </c>
      <c r="CA39" s="580">
        <v>1.5</v>
      </c>
      <c r="CB39" s="393">
        <v>60</v>
      </c>
      <c r="CC39" s="393">
        <v>0.8</v>
      </c>
      <c r="CD39" s="352">
        <f t="shared" si="0"/>
        <v>56</v>
      </c>
    </row>
    <row r="40" spans="1:82" ht="21" customHeight="1" x14ac:dyDescent="0.25">
      <c r="A40" s="1326"/>
      <c r="B40" s="1327"/>
      <c r="C40" s="1339"/>
      <c r="D40" s="1340"/>
      <c r="E40" s="1340"/>
      <c r="F40" s="1340"/>
      <c r="G40" s="1340"/>
      <c r="H40" s="1340"/>
      <c r="I40" s="1340"/>
      <c r="J40" s="1340"/>
      <c r="K40" s="1340"/>
      <c r="L40" s="1340"/>
      <c r="M40" s="1340"/>
      <c r="N40" s="1340"/>
      <c r="O40" s="1340"/>
      <c r="P40" s="1340"/>
      <c r="Q40" s="1340"/>
      <c r="R40" s="1340"/>
      <c r="S40" s="1341"/>
      <c r="T40" s="1342"/>
      <c r="BW40" s="124" t="s">
        <v>694</v>
      </c>
      <c r="BX40" s="124">
        <v>30</v>
      </c>
      <c r="BY40" s="592">
        <v>120</v>
      </c>
      <c r="BZ40" s="594">
        <v>2</v>
      </c>
      <c r="CA40" s="594">
        <v>3</v>
      </c>
      <c r="CB40" s="641">
        <v>90</v>
      </c>
      <c r="CC40" s="393">
        <v>1.6</v>
      </c>
      <c r="CD40" s="352">
        <f t="shared" si="0"/>
        <v>48</v>
      </c>
    </row>
    <row r="41" spans="1:82" ht="21.75" customHeight="1" x14ac:dyDescent="0.25">
      <c r="BW41" s="580" t="s">
        <v>766</v>
      </c>
      <c r="BX41" s="580">
        <v>400</v>
      </c>
      <c r="BY41" s="580">
        <v>140</v>
      </c>
      <c r="BZ41" s="580">
        <v>0.2</v>
      </c>
      <c r="CA41" s="580">
        <v>0.3</v>
      </c>
      <c r="CB41" s="641">
        <v>60</v>
      </c>
      <c r="CC41" s="393">
        <v>0.2</v>
      </c>
      <c r="CD41" s="352">
        <f t="shared" si="0"/>
        <v>80</v>
      </c>
    </row>
    <row r="42" spans="1:82" ht="21.75" customHeight="1" x14ac:dyDescent="0.25">
      <c r="A42" s="1320" t="s">
        <v>617</v>
      </c>
      <c r="B42" s="1321"/>
      <c r="C42" s="1347" t="s">
        <v>1086</v>
      </c>
      <c r="D42" s="1281"/>
      <c r="E42" s="1281"/>
      <c r="F42" s="1281"/>
      <c r="G42" s="1281"/>
      <c r="H42" s="1281"/>
      <c r="I42" s="1281"/>
      <c r="J42" s="1281"/>
      <c r="K42" s="1281"/>
      <c r="L42" s="1281"/>
      <c r="M42" s="1281"/>
      <c r="N42" s="1281"/>
      <c r="O42" s="1281"/>
      <c r="P42" s="1281"/>
      <c r="Q42" s="1348"/>
      <c r="R42" s="1348"/>
      <c r="S42" s="1349"/>
      <c r="T42" s="1349"/>
      <c r="BW42" s="240" t="s">
        <v>252</v>
      </c>
      <c r="BX42" s="240">
        <v>450</v>
      </c>
      <c r="BY42" s="240">
        <v>200</v>
      </c>
      <c r="BZ42" s="240">
        <v>0.2</v>
      </c>
      <c r="CA42" s="240">
        <v>0.3</v>
      </c>
      <c r="CB42" s="641">
        <v>60</v>
      </c>
      <c r="CC42" s="393">
        <v>0.18</v>
      </c>
      <c r="CD42" s="352">
        <f t="shared" si="0"/>
        <v>81</v>
      </c>
    </row>
    <row r="43" spans="1:82" ht="21.75" customHeight="1" x14ac:dyDescent="0.25">
      <c r="A43" s="1322"/>
      <c r="B43" s="1323"/>
      <c r="C43" s="1281"/>
      <c r="D43" s="1281"/>
      <c r="E43" s="1281"/>
      <c r="F43" s="1281"/>
      <c r="G43" s="1281"/>
      <c r="H43" s="1281"/>
      <c r="I43" s="1281"/>
      <c r="J43" s="1281"/>
      <c r="K43" s="1281"/>
      <c r="L43" s="1281"/>
      <c r="M43" s="1281"/>
      <c r="N43" s="1281"/>
      <c r="O43" s="1281"/>
      <c r="P43" s="1281"/>
      <c r="Q43" s="1348"/>
      <c r="R43" s="1348"/>
      <c r="S43" s="1349"/>
      <c r="T43" s="1349"/>
      <c r="BW43" s="80" t="s">
        <v>1300</v>
      </c>
      <c r="BX43" s="124">
        <v>300</v>
      </c>
      <c r="BY43" s="124">
        <v>205</v>
      </c>
      <c r="BZ43" s="124">
        <v>0.33300000000000002</v>
      </c>
      <c r="CA43" s="124">
        <v>0.33300000000000002</v>
      </c>
      <c r="CB43" s="641">
        <v>30</v>
      </c>
      <c r="CC43" s="393">
        <v>0.115</v>
      </c>
      <c r="CD43" s="352">
        <f t="shared" si="0"/>
        <v>34.5</v>
      </c>
    </row>
    <row r="44" spans="1:82" ht="21.75" customHeight="1" x14ac:dyDescent="0.25">
      <c r="A44" s="1343"/>
      <c r="B44" s="1344"/>
      <c r="C44" s="1281"/>
      <c r="D44" s="1281"/>
      <c r="E44" s="1281"/>
      <c r="F44" s="1281"/>
      <c r="G44" s="1281"/>
      <c r="H44" s="1281"/>
      <c r="I44" s="1281"/>
      <c r="J44" s="1281"/>
      <c r="K44" s="1281"/>
      <c r="L44" s="1281"/>
      <c r="M44" s="1281"/>
      <c r="N44" s="1281"/>
      <c r="O44" s="1281"/>
      <c r="P44" s="1281"/>
      <c r="Q44" s="1348"/>
      <c r="R44" s="1348"/>
      <c r="S44" s="1349"/>
      <c r="T44" s="1349"/>
      <c r="BW44" s="240" t="s">
        <v>700</v>
      </c>
      <c r="BX44" s="240">
        <v>450</v>
      </c>
      <c r="BY44" s="240">
        <v>180</v>
      </c>
      <c r="BZ44" s="240">
        <v>0.2</v>
      </c>
      <c r="CA44" s="240">
        <v>0.3</v>
      </c>
      <c r="CB44" s="641">
        <v>90</v>
      </c>
      <c r="CC44" s="596">
        <v>0.18</v>
      </c>
      <c r="CD44" s="352">
        <f t="shared" si="0"/>
        <v>81</v>
      </c>
    </row>
    <row r="45" spans="1:82" ht="15.75" customHeight="1" x14ac:dyDescent="0.25">
      <c r="A45" s="1345"/>
      <c r="B45" s="1346"/>
      <c r="C45" s="1347" t="s">
        <v>594</v>
      </c>
      <c r="D45" s="1281"/>
      <c r="E45" s="1281"/>
      <c r="F45" s="1281"/>
      <c r="G45" s="1281"/>
      <c r="H45" s="1281"/>
      <c r="I45" s="1281"/>
      <c r="J45" s="1281"/>
      <c r="K45" s="1281"/>
      <c r="L45" s="1281"/>
      <c r="M45" s="1281"/>
      <c r="N45" s="1281"/>
      <c r="O45" s="1348"/>
      <c r="P45" s="1348"/>
      <c r="Q45" s="1348"/>
      <c r="R45" s="1348"/>
      <c r="S45" s="1349"/>
      <c r="T45" s="1349"/>
      <c r="BW45" s="644" t="s">
        <v>773</v>
      </c>
      <c r="BX45" s="644">
        <v>30</v>
      </c>
      <c r="BY45" s="644">
        <v>100</v>
      </c>
      <c r="BZ45" s="644">
        <v>2</v>
      </c>
      <c r="CA45" s="644">
        <v>3</v>
      </c>
      <c r="CB45" s="393">
        <v>60</v>
      </c>
      <c r="CC45" s="393">
        <v>1.3</v>
      </c>
      <c r="CD45" s="352">
        <f t="shared" si="0"/>
        <v>39</v>
      </c>
    </row>
    <row r="46" spans="1:82" ht="12.75" customHeight="1" x14ac:dyDescent="0.25">
      <c r="BW46" s="598" t="s">
        <v>775</v>
      </c>
      <c r="BX46" s="598">
        <v>30</v>
      </c>
      <c r="BY46" s="598">
        <v>260</v>
      </c>
      <c r="BZ46" s="598">
        <v>5</v>
      </c>
      <c r="CA46" s="598">
        <v>7.5</v>
      </c>
      <c r="CB46" s="598">
        <v>60</v>
      </c>
      <c r="CC46" s="598">
        <v>1.3</v>
      </c>
      <c r="CD46" s="352">
        <f t="shared" si="0"/>
        <v>39</v>
      </c>
    </row>
    <row r="47" spans="1:82" ht="12.75" customHeight="1" x14ac:dyDescent="0.25">
      <c r="BW47" s="240" t="s">
        <v>699</v>
      </c>
      <c r="BX47" s="240">
        <v>500</v>
      </c>
      <c r="BY47" s="240">
        <v>150</v>
      </c>
      <c r="BZ47" s="240">
        <v>0.2</v>
      </c>
      <c r="CA47" s="224">
        <v>0.3</v>
      </c>
      <c r="CB47" s="641">
        <v>90</v>
      </c>
      <c r="CC47" s="393">
        <v>0.1</v>
      </c>
      <c r="CD47" s="352">
        <f t="shared" si="0"/>
        <v>50</v>
      </c>
    </row>
    <row r="48" spans="1:82" ht="12.75" customHeight="1" x14ac:dyDescent="0.25">
      <c r="BW48" s="124" t="s">
        <v>92</v>
      </c>
      <c r="BX48" s="124">
        <v>70</v>
      </c>
      <c r="BY48" s="124">
        <v>180</v>
      </c>
      <c r="BZ48" s="124">
        <v>1</v>
      </c>
      <c r="CA48" s="124">
        <v>1.5</v>
      </c>
      <c r="CB48" s="641">
        <v>90</v>
      </c>
      <c r="CC48" s="393">
        <v>0.8</v>
      </c>
      <c r="CD48" s="352">
        <f t="shared" si="0"/>
        <v>56</v>
      </c>
    </row>
    <row r="49" spans="22:82" ht="17.25" customHeight="1" x14ac:dyDescent="0.25">
      <c r="BW49" s="580" t="s">
        <v>765</v>
      </c>
      <c r="BX49" s="580">
        <v>350</v>
      </c>
      <c r="BY49" s="580">
        <v>210</v>
      </c>
      <c r="BZ49" s="580">
        <v>0.2</v>
      </c>
      <c r="CA49" s="580">
        <v>0.3</v>
      </c>
      <c r="CB49" s="641">
        <v>90</v>
      </c>
      <c r="CC49" s="393">
        <v>0.23</v>
      </c>
      <c r="CD49" s="352">
        <f t="shared" si="0"/>
        <v>80.5</v>
      </c>
    </row>
    <row r="50" spans="22:82" ht="15.75" customHeight="1" x14ac:dyDescent="0.25">
      <c r="BW50" s="580" t="s">
        <v>767</v>
      </c>
      <c r="BX50" s="580">
        <v>350</v>
      </c>
      <c r="BY50" s="580">
        <v>180</v>
      </c>
      <c r="BZ50" s="580">
        <v>0.2</v>
      </c>
      <c r="CA50" s="580">
        <v>0.3</v>
      </c>
      <c r="CB50" s="641">
        <v>90</v>
      </c>
      <c r="CC50" s="393">
        <v>0.23</v>
      </c>
      <c r="CD50" s="352">
        <f t="shared" si="0"/>
        <v>80.5</v>
      </c>
    </row>
    <row r="51" spans="22:82" ht="15.75" customHeight="1" x14ac:dyDescent="0.25">
      <c r="BW51" s="598" t="s">
        <v>726</v>
      </c>
      <c r="BX51" s="598">
        <v>350</v>
      </c>
      <c r="BY51" s="598">
        <v>140</v>
      </c>
      <c r="BZ51" s="598">
        <v>0.15</v>
      </c>
      <c r="CA51" s="598">
        <v>0.23</v>
      </c>
      <c r="CB51" s="641">
        <v>90</v>
      </c>
      <c r="CC51" s="393">
        <v>0.23</v>
      </c>
      <c r="CD51" s="352">
        <f t="shared" si="0"/>
        <v>80.5</v>
      </c>
    </row>
    <row r="52" spans="22:82" ht="15.75" customHeight="1" x14ac:dyDescent="0.25">
      <c r="V52" s="147"/>
      <c r="W52" s="147"/>
      <c r="BW52" s="598" t="s">
        <v>741</v>
      </c>
      <c r="BX52" s="598">
        <v>350</v>
      </c>
      <c r="BY52" s="598">
        <v>100</v>
      </c>
      <c r="BZ52" s="598">
        <v>0.1</v>
      </c>
      <c r="CA52" s="598">
        <v>0.15</v>
      </c>
      <c r="CB52" s="641">
        <v>90</v>
      </c>
      <c r="CC52" s="393">
        <v>0.23</v>
      </c>
      <c r="CD52" s="352">
        <f t="shared" si="0"/>
        <v>80.5</v>
      </c>
    </row>
    <row r="53" spans="22:82" ht="15.75" customHeight="1" x14ac:dyDescent="0.25">
      <c r="AE53" s="124"/>
      <c r="AF53" s="124"/>
      <c r="AG53" s="124"/>
      <c r="BW53" s="124" t="s">
        <v>703</v>
      </c>
      <c r="BX53" s="124">
        <v>40</v>
      </c>
      <c r="BY53" s="124">
        <v>200</v>
      </c>
      <c r="BZ53" s="124">
        <v>2</v>
      </c>
      <c r="CA53" s="124">
        <v>3</v>
      </c>
      <c r="CB53" s="641">
        <v>90</v>
      </c>
      <c r="CC53" s="393">
        <v>1.8</v>
      </c>
      <c r="CD53" s="352">
        <f t="shared" si="0"/>
        <v>72</v>
      </c>
    </row>
    <row r="54" spans="22:82" ht="15.75" customHeight="1" x14ac:dyDescent="0.25">
      <c r="AE54" s="124"/>
      <c r="AF54" s="124"/>
      <c r="AG54" s="124"/>
      <c r="BW54" s="124" t="s">
        <v>157</v>
      </c>
      <c r="BX54" s="124">
        <v>70</v>
      </c>
      <c r="BY54" s="124">
        <v>170</v>
      </c>
      <c r="BZ54" s="124">
        <v>1</v>
      </c>
      <c r="CA54" s="124">
        <v>1.5</v>
      </c>
      <c r="CB54" s="641">
        <v>90</v>
      </c>
      <c r="CC54" s="393">
        <v>0.8</v>
      </c>
      <c r="CD54" s="352">
        <f t="shared" si="0"/>
        <v>56</v>
      </c>
    </row>
    <row r="55" spans="22:82" ht="15.75" customHeight="1" x14ac:dyDescent="0.25">
      <c r="AE55" s="124"/>
      <c r="AF55" s="124"/>
      <c r="AG55" s="124"/>
      <c r="BW55" s="124" t="s">
        <v>156</v>
      </c>
      <c r="BX55" s="124">
        <v>70</v>
      </c>
      <c r="BY55" s="124">
        <v>190</v>
      </c>
      <c r="BZ55" s="124">
        <v>1</v>
      </c>
      <c r="CA55" s="124">
        <v>1.5</v>
      </c>
      <c r="CB55" s="641">
        <v>90</v>
      </c>
      <c r="CC55" s="393">
        <v>0.8</v>
      </c>
      <c r="CD55" s="352">
        <f t="shared" si="0"/>
        <v>56</v>
      </c>
    </row>
    <row r="56" spans="22:82" ht="15.75" customHeight="1" x14ac:dyDescent="0.25">
      <c r="AE56" s="124"/>
      <c r="AF56" s="124"/>
      <c r="AG56" s="124"/>
      <c r="AI56" s="124"/>
      <c r="AJ56" s="124"/>
      <c r="BW56" s="124" t="s">
        <v>222</v>
      </c>
      <c r="BX56" s="124">
        <v>80</v>
      </c>
      <c r="BY56" s="124">
        <v>230</v>
      </c>
      <c r="BZ56" s="124">
        <v>1</v>
      </c>
      <c r="CA56" s="124">
        <v>1.5</v>
      </c>
      <c r="CB56" s="641">
        <v>90</v>
      </c>
      <c r="CC56" s="393">
        <v>0.8</v>
      </c>
      <c r="CD56" s="352">
        <f t="shared" si="0"/>
        <v>64</v>
      </c>
    </row>
    <row r="57" spans="22:82" ht="15.75" customHeight="1" x14ac:dyDescent="0.25">
      <c r="AE57" s="124"/>
      <c r="AF57" s="124"/>
      <c r="AG57" s="124"/>
      <c r="BW57" s="124" t="s">
        <v>686</v>
      </c>
      <c r="BX57" s="124">
        <v>80</v>
      </c>
      <c r="BY57" s="124">
        <v>210</v>
      </c>
      <c r="BZ57" s="124">
        <v>1</v>
      </c>
      <c r="CA57" s="124">
        <v>1.5</v>
      </c>
      <c r="CB57" s="641">
        <v>90</v>
      </c>
      <c r="CC57" s="393">
        <v>0.8</v>
      </c>
      <c r="CD57" s="352">
        <f t="shared" si="0"/>
        <v>64</v>
      </c>
    </row>
    <row r="58" spans="22:82" ht="15.75" customHeight="1" x14ac:dyDescent="0.25">
      <c r="V58" s="166"/>
      <c r="W58" s="166"/>
      <c r="AE58" s="124"/>
      <c r="AF58" s="124"/>
      <c r="AG58" s="124"/>
      <c r="BW58" s="124" t="s">
        <v>223</v>
      </c>
      <c r="BX58" s="124">
        <v>80</v>
      </c>
      <c r="BY58" s="124">
        <v>260</v>
      </c>
      <c r="BZ58" s="124">
        <v>1</v>
      </c>
      <c r="CA58" s="124">
        <v>1.5</v>
      </c>
      <c r="CB58" s="641">
        <v>90</v>
      </c>
      <c r="CC58" s="393">
        <v>0.8</v>
      </c>
      <c r="CD58" s="352">
        <f t="shared" si="0"/>
        <v>64</v>
      </c>
    </row>
    <row r="59" spans="22:82" ht="15.75" customHeight="1" x14ac:dyDescent="0.25">
      <c r="V59" s="166"/>
      <c r="W59" s="166"/>
      <c r="BW59" s="580" t="s">
        <v>758</v>
      </c>
      <c r="BX59" s="580">
        <v>80</v>
      </c>
      <c r="BY59" s="580">
        <v>180</v>
      </c>
      <c r="BZ59" s="580">
        <v>1</v>
      </c>
      <c r="CA59" s="580">
        <v>1.5</v>
      </c>
      <c r="CB59" s="641">
        <v>90</v>
      </c>
      <c r="CC59" s="393">
        <v>0.8</v>
      </c>
      <c r="CD59" s="352">
        <f t="shared" si="0"/>
        <v>64</v>
      </c>
    </row>
    <row r="60" spans="22:82" ht="15.75" customHeight="1" x14ac:dyDescent="0.25">
      <c r="BT60" s="391"/>
      <c r="BU60" s="391"/>
      <c r="BW60" s="124" t="s">
        <v>126</v>
      </c>
      <c r="BX60" s="124">
        <v>650</v>
      </c>
      <c r="BY60" s="124">
        <v>170</v>
      </c>
      <c r="BZ60" s="593">
        <v>0.1</v>
      </c>
      <c r="CA60" s="593">
        <v>0.15</v>
      </c>
      <c r="CB60" s="641">
        <v>90</v>
      </c>
      <c r="CC60" s="393">
        <v>0.1</v>
      </c>
      <c r="CD60" s="352">
        <f t="shared" si="0"/>
        <v>65</v>
      </c>
    </row>
    <row r="61" spans="22:82" ht="15.75" customHeight="1" x14ac:dyDescent="0.25">
      <c r="BW61" s="124" t="s">
        <v>698</v>
      </c>
      <c r="BX61" s="124">
        <v>600</v>
      </c>
      <c r="BY61" s="124">
        <v>155</v>
      </c>
      <c r="BZ61" s="596">
        <v>0.16666700000000001</v>
      </c>
      <c r="CA61" s="596">
        <v>0.16666700000000001</v>
      </c>
      <c r="CB61" s="641">
        <v>60</v>
      </c>
      <c r="CC61" s="393">
        <v>0.08</v>
      </c>
      <c r="CD61" s="352">
        <f t="shared" si="0"/>
        <v>48</v>
      </c>
    </row>
    <row r="62" spans="22:82" ht="15.75" customHeight="1" x14ac:dyDescent="0.25">
      <c r="CC62" s="641"/>
    </row>
    <row r="63" spans="22:82" ht="15.75" customHeight="1" x14ac:dyDescent="0.25">
      <c r="BX63" s="60" t="s">
        <v>5</v>
      </c>
      <c r="CC63" s="641"/>
    </row>
    <row r="64" spans="22:82" ht="15.75" customHeight="1" x14ac:dyDescent="0.25">
      <c r="BW64" s="41" t="s">
        <v>6</v>
      </c>
      <c r="CC64" s="641"/>
    </row>
    <row r="65" spans="74:81" ht="15.75" customHeight="1" x14ac:dyDescent="0.25">
      <c r="BW65" s="17" t="s">
        <v>510</v>
      </c>
      <c r="BX65" s="124">
        <v>0</v>
      </c>
      <c r="CC65" s="641"/>
    </row>
    <row r="66" spans="74:81" ht="15.75" customHeight="1" x14ac:dyDescent="0.25">
      <c r="BW66" s="17" t="s">
        <v>22</v>
      </c>
      <c r="BX66" s="124">
        <v>10</v>
      </c>
    </row>
    <row r="67" spans="74:81" ht="15.75" customHeight="1" x14ac:dyDescent="0.25">
      <c r="BW67" s="17" t="s">
        <v>535</v>
      </c>
      <c r="BX67" s="124">
        <v>10</v>
      </c>
    </row>
    <row r="68" spans="74:81" ht="15.75" customHeight="1" x14ac:dyDescent="0.25">
      <c r="BW68" s="17" t="s">
        <v>7</v>
      </c>
      <c r="BX68" s="124">
        <v>10</v>
      </c>
    </row>
    <row r="69" spans="74:81" ht="15.75" customHeight="1" x14ac:dyDescent="0.25">
      <c r="BW69" s="17" t="s">
        <v>17</v>
      </c>
      <c r="BX69" s="124">
        <v>20</v>
      </c>
      <c r="BZ69" s="60"/>
    </row>
    <row r="70" spans="74:81" ht="15.75" customHeight="1" x14ac:dyDescent="0.25">
      <c r="BW70" s="17" t="s">
        <v>23</v>
      </c>
      <c r="BX70" s="124">
        <v>0</v>
      </c>
    </row>
    <row r="71" spans="74:81" ht="15.75" customHeight="1" x14ac:dyDescent="0.25">
      <c r="BW71" s="17" t="s">
        <v>20</v>
      </c>
      <c r="BX71" s="124">
        <v>20</v>
      </c>
    </row>
    <row r="72" spans="74:81" ht="15.75" customHeight="1" x14ac:dyDescent="0.25">
      <c r="BW72" s="17" t="s">
        <v>19</v>
      </c>
      <c r="BX72" s="124">
        <v>10</v>
      </c>
    </row>
    <row r="73" spans="74:81" ht="15.75" customHeight="1" x14ac:dyDescent="0.25">
      <c r="BW73" s="17" t="s">
        <v>536</v>
      </c>
      <c r="BX73" s="124">
        <v>0</v>
      </c>
    </row>
    <row r="74" spans="74:81" ht="15.75" customHeight="1" x14ac:dyDescent="0.25">
      <c r="BW74" s="17" t="s">
        <v>21</v>
      </c>
      <c r="BX74" s="124">
        <v>10</v>
      </c>
    </row>
    <row r="75" spans="74:81" ht="15.75" customHeight="1" x14ac:dyDescent="0.25">
      <c r="BW75" s="17" t="s">
        <v>18</v>
      </c>
      <c r="BX75" s="124">
        <v>20</v>
      </c>
    </row>
    <row r="76" spans="74:81" ht="15.75" customHeight="1" x14ac:dyDescent="0.25"/>
    <row r="77" spans="74:81" ht="15.75" customHeight="1" x14ac:dyDescent="0.25">
      <c r="BW77" s="41" t="s">
        <v>8</v>
      </c>
    </row>
    <row r="78" spans="74:81" ht="15.75" customHeight="1" x14ac:dyDescent="0.25">
      <c r="BW78" s="17" t="s">
        <v>25</v>
      </c>
      <c r="BX78" s="124">
        <v>0</v>
      </c>
    </row>
    <row r="79" spans="74:81" ht="15.75" customHeight="1" x14ac:dyDescent="0.25">
      <c r="BW79" s="17" t="s">
        <v>538</v>
      </c>
      <c r="BX79" s="124">
        <v>0</v>
      </c>
    </row>
    <row r="80" spans="74:81" ht="15.75" customHeight="1" x14ac:dyDescent="0.25">
      <c r="BV80" s="17"/>
      <c r="BW80" s="17" t="s">
        <v>537</v>
      </c>
      <c r="BX80" s="124">
        <v>20</v>
      </c>
    </row>
    <row r="81" spans="74:76" ht="15.75" customHeight="1" x14ac:dyDescent="0.25">
      <c r="BV81" s="17"/>
      <c r="BW81" s="17" t="s">
        <v>28</v>
      </c>
      <c r="BX81" s="124">
        <v>10</v>
      </c>
    </row>
    <row r="82" spans="74:76" ht="15.75" customHeight="1" x14ac:dyDescent="0.25">
      <c r="BW82" s="17" t="s">
        <v>540</v>
      </c>
      <c r="BX82" s="124">
        <v>10</v>
      </c>
    </row>
    <row r="83" spans="74:76" ht="15.75" customHeight="1" x14ac:dyDescent="0.25">
      <c r="BW83" s="17" t="s">
        <v>679</v>
      </c>
      <c r="BX83" s="124">
        <v>30</v>
      </c>
    </row>
    <row r="84" spans="74:76" ht="15.75" customHeight="1" x14ac:dyDescent="0.25">
      <c r="BW84" s="17" t="s">
        <v>539</v>
      </c>
      <c r="BX84" s="124">
        <v>40</v>
      </c>
    </row>
    <row r="85" spans="74:76" ht="15.75" customHeight="1" x14ac:dyDescent="0.25">
      <c r="BW85" s="17" t="s">
        <v>9</v>
      </c>
      <c r="BX85" s="124">
        <v>0</v>
      </c>
    </row>
    <row r="86" spans="74:76" ht="15.75" customHeight="1" x14ac:dyDescent="0.25">
      <c r="BW86" s="17" t="s">
        <v>10</v>
      </c>
      <c r="BX86" s="124">
        <v>10</v>
      </c>
    </row>
    <row r="87" spans="74:76" ht="15.75" customHeight="1" x14ac:dyDescent="0.25">
      <c r="BW87" s="17" t="s">
        <v>31</v>
      </c>
      <c r="BX87" s="124">
        <v>0</v>
      </c>
    </row>
    <row r="88" spans="74:76" ht="15.75" customHeight="1" x14ac:dyDescent="0.25"/>
    <row r="89" spans="74:76" ht="15.75" customHeight="1" x14ac:dyDescent="0.25">
      <c r="BW89" s="41" t="s">
        <v>159</v>
      </c>
    </row>
    <row r="90" spans="74:76" ht="15.75" customHeight="1" x14ac:dyDescent="0.25">
      <c r="BW90" s="17" t="s">
        <v>230</v>
      </c>
      <c r="BX90" s="124">
        <v>20</v>
      </c>
    </row>
    <row r="91" spans="74:76" ht="15.75" customHeight="1" x14ac:dyDescent="0.25">
      <c r="BW91" s="17" t="s">
        <v>160</v>
      </c>
      <c r="BX91" s="124">
        <v>0</v>
      </c>
    </row>
    <row r="92" spans="74:76" ht="15.75" customHeight="1" x14ac:dyDescent="0.25"/>
    <row r="93" spans="74:76" ht="15" customHeight="1" x14ac:dyDescent="0.25"/>
    <row r="94" spans="74:76" ht="58.5" customHeight="1" x14ac:dyDescent="0.25"/>
    <row r="95" spans="74:76" ht="36" customHeight="1" x14ac:dyDescent="0.25"/>
    <row r="96" spans="74:76" ht="15.75" customHeight="1" x14ac:dyDescent="0.25"/>
    <row r="97" ht="15.75" customHeight="1" x14ac:dyDescent="0.25"/>
    <row r="98" ht="15.75" customHeight="1" x14ac:dyDescent="0.25"/>
    <row r="99" ht="15.75" customHeight="1" x14ac:dyDescent="0.25"/>
    <row r="111" ht="17.25" customHeight="1" x14ac:dyDescent="0.25"/>
  </sheetData>
  <sheetProtection sheet="1" objects="1" scenarios="1" formatCells="0" formatColumns="0" formatRows="0" selectLockedCells="1"/>
  <mergeCells count="44">
    <mergeCell ref="C1:D1"/>
    <mergeCell ref="I1:J1"/>
    <mergeCell ref="L1:P3"/>
    <mergeCell ref="C2:D2"/>
    <mergeCell ref="E2:G3"/>
    <mergeCell ref="I2:J2"/>
    <mergeCell ref="BG2:BQ4"/>
    <mergeCell ref="C3:D3"/>
    <mergeCell ref="A4:T4"/>
    <mergeCell ref="V4:BE4"/>
    <mergeCell ref="A5:T5"/>
    <mergeCell ref="V5:BE5"/>
    <mergeCell ref="BG5:BK6"/>
    <mergeCell ref="BM5:BQ6"/>
    <mergeCell ref="A6:A7"/>
    <mergeCell ref="B6:B7"/>
    <mergeCell ref="AZ6:BE6"/>
    <mergeCell ref="V6:V7"/>
    <mergeCell ref="W6:W7"/>
    <mergeCell ref="X6:AC6"/>
    <mergeCell ref="AE6:AJ6"/>
    <mergeCell ref="Q6:R6"/>
    <mergeCell ref="S6:T6"/>
    <mergeCell ref="K6:K7"/>
    <mergeCell ref="L6:L7"/>
    <mergeCell ref="M6:M7"/>
    <mergeCell ref="N6:N7"/>
    <mergeCell ref="O6:O7"/>
    <mergeCell ref="A42:B45"/>
    <mergeCell ref="C42:T44"/>
    <mergeCell ref="C45:T45"/>
    <mergeCell ref="AL6:AQ6"/>
    <mergeCell ref="AS6:AX6"/>
    <mergeCell ref="P6:P7"/>
    <mergeCell ref="C6:C7"/>
    <mergeCell ref="D6:E6"/>
    <mergeCell ref="F6:G6"/>
    <mergeCell ref="H6:H7"/>
    <mergeCell ref="I6:I7"/>
    <mergeCell ref="J6:J7"/>
    <mergeCell ref="R33:R34"/>
    <mergeCell ref="T33:T34"/>
    <mergeCell ref="A36:B40"/>
    <mergeCell ref="C36:T40"/>
  </mergeCells>
  <dataValidations count="4">
    <dataValidation type="list" allowBlank="1" sqref="J8:J31" xr:uid="{82527D27-1390-4F6E-B777-4237960486D2}">
      <formula1>BW$78:BW$87</formula1>
    </dataValidation>
    <dataValidation type="list" allowBlank="1" sqref="H8:H31" xr:uid="{E505F582-5CDC-440C-AE37-F85FB32D80BB}">
      <formula1>BW$65:BW$75</formula1>
    </dataValidation>
    <dataValidation type="list" allowBlank="1" sqref="N8:N31" xr:uid="{20A9074E-379D-45AD-80F6-ED8B6987931E}">
      <formula1>BW$90:BW$91</formula1>
    </dataValidation>
    <dataValidation type="list" allowBlank="1" sqref="C8:C31" xr:uid="{BA78498D-379C-4301-B315-09DB61EF17CA}">
      <formula1>BW$3:BW$61</formula1>
    </dataValidation>
  </dataValidations>
  <pageMargins left="0.78740157480314965" right="0.23622047244094491" top="0.74803149606299213" bottom="0.74803149606299213" header="0.31496062992125984" footer="0.31496062992125984"/>
  <pageSetup paperSize="9" scale="59" fitToHeight="0" orientation="landscape" horizontalDpi="4294967293" verticalDpi="4294967293" r:id="rId1"/>
  <rowBreaks count="1" manualBreakCount="1">
    <brk id="32" max="56" man="1"/>
  </rowBreaks>
  <colBreaks count="1" manualBreakCount="1">
    <brk id="21" max="31" man="1"/>
  </colBreaks>
  <extLst>
    <ext xmlns:x14="http://schemas.microsoft.com/office/spreadsheetml/2009/9/main" uri="{CCE6A557-97BC-4b89-ADB6-D9C93CAAB3DF}">
      <x14:dataValidations xmlns:xm="http://schemas.microsoft.com/office/excel/2006/main" count="1">
        <x14:dataValidation type="list" allowBlank="1" showInputMessage="1" showErrorMessage="1" xr:uid="{BF774B07-46D9-41DB-B42C-67FD4AE64649}">
          <x14:formula1>
            <xm:f>Düngemittel!$B$6:$B$64</xm:f>
          </x14:formula1>
          <xm:sqref>Y8:Y31 AF8:AF31 AM8:AM31 AT8:AT31 BA8:BA31</xm:sqref>
        </x14:dataValidation>
      </x14:dataValidations>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Tabelle49"/>
  <dimension ref="B2:P189"/>
  <sheetViews>
    <sheetView zoomScale="90" zoomScaleNormal="90" workbookViewId="0"/>
  </sheetViews>
  <sheetFormatPr baseColWidth="10" defaultRowHeight="15" x14ac:dyDescent="0.25"/>
  <cols>
    <col min="2" max="2" width="21.85546875" style="3" customWidth="1"/>
    <col min="3" max="3" width="20.42578125" style="3" customWidth="1"/>
    <col min="4" max="4" width="19.28515625" customWidth="1"/>
    <col min="5" max="5" width="13.5703125" customWidth="1"/>
    <col min="6" max="6" width="12.85546875" customWidth="1"/>
    <col min="15" max="15" width="14.5703125" customWidth="1"/>
    <col min="22" max="22" width="12.7109375" customWidth="1"/>
    <col min="23" max="23" width="14.85546875" customWidth="1"/>
    <col min="24" max="24" width="17.5703125" customWidth="1"/>
  </cols>
  <sheetData>
    <row r="2" spans="2:16" ht="15.75" x14ac:dyDescent="0.25">
      <c r="C2" s="3" t="s">
        <v>43</v>
      </c>
      <c r="O2" s="445"/>
      <c r="P2" s="3"/>
    </row>
    <row r="3" spans="2:16" x14ac:dyDescent="0.25">
      <c r="C3" s="3" t="s">
        <v>44</v>
      </c>
      <c r="J3" s="3" t="s">
        <v>609</v>
      </c>
      <c r="K3" s="3"/>
      <c r="L3" s="3"/>
      <c r="O3" s="3"/>
      <c r="P3" s="3"/>
    </row>
    <row r="4" spans="2:16" x14ac:dyDescent="0.25">
      <c r="J4" s="3" t="s">
        <v>177</v>
      </c>
      <c r="K4" s="3" t="s">
        <v>608</v>
      </c>
      <c r="L4" s="3"/>
      <c r="O4" s="3"/>
      <c r="P4" s="3"/>
    </row>
    <row r="5" spans="2:16" x14ac:dyDescent="0.25">
      <c r="B5" s="8" t="s">
        <v>45</v>
      </c>
      <c r="C5" s="8" t="s">
        <v>4</v>
      </c>
      <c r="J5" s="3">
        <v>3</v>
      </c>
      <c r="K5" s="3">
        <v>1</v>
      </c>
      <c r="L5" s="3"/>
      <c r="O5" s="8"/>
      <c r="P5" s="8"/>
    </row>
    <row r="6" spans="2:16" x14ac:dyDescent="0.25">
      <c r="B6" s="3">
        <v>20</v>
      </c>
      <c r="C6" s="3">
        <v>-12</v>
      </c>
      <c r="J6" s="3">
        <v>2.5</v>
      </c>
      <c r="K6" s="3">
        <v>0.95</v>
      </c>
      <c r="L6" s="3"/>
      <c r="O6" s="3"/>
      <c r="P6" s="3"/>
    </row>
    <row r="7" spans="2:16" x14ac:dyDescent="0.25">
      <c r="B7" s="3">
        <v>40</v>
      </c>
      <c r="C7" s="3">
        <v>0</v>
      </c>
      <c r="J7" s="3">
        <v>2</v>
      </c>
      <c r="K7" s="3">
        <v>0.87</v>
      </c>
      <c r="L7" s="3"/>
      <c r="O7" s="3"/>
      <c r="P7" s="3"/>
    </row>
    <row r="8" spans="2:16" x14ac:dyDescent="0.25">
      <c r="B8" s="3">
        <v>60</v>
      </c>
      <c r="C8" s="3">
        <v>10</v>
      </c>
      <c r="J8" s="3">
        <v>1.5</v>
      </c>
      <c r="K8" s="3">
        <v>0.76</v>
      </c>
      <c r="L8" s="3"/>
      <c r="O8" s="3"/>
      <c r="P8" s="3"/>
    </row>
    <row r="9" spans="2:16" x14ac:dyDescent="0.25">
      <c r="B9" s="3">
        <v>80</v>
      </c>
      <c r="C9" s="3">
        <v>18</v>
      </c>
      <c r="J9" s="3">
        <v>1</v>
      </c>
      <c r="K9" s="3">
        <v>0.62</v>
      </c>
      <c r="L9" s="3"/>
      <c r="O9" s="3"/>
      <c r="P9" s="3"/>
    </row>
    <row r="10" spans="2:16" x14ac:dyDescent="0.25">
      <c r="B10" s="3">
        <v>100</v>
      </c>
      <c r="C10" s="3">
        <v>24</v>
      </c>
      <c r="J10" s="3"/>
      <c r="K10" s="3"/>
      <c r="L10" s="3"/>
      <c r="O10" s="3"/>
      <c r="P10" s="3"/>
    </row>
    <row r="32" spans="4:15" x14ac:dyDescent="0.25">
      <c r="D32" s="3"/>
      <c r="E32" s="3"/>
      <c r="F32" s="3"/>
      <c r="G32" s="3"/>
      <c r="H32" s="3"/>
      <c r="I32" s="3"/>
      <c r="J32" s="3"/>
      <c r="K32" s="3"/>
      <c r="L32" s="3"/>
      <c r="M32" s="3"/>
      <c r="N32" s="3"/>
      <c r="O32" s="3"/>
    </row>
    <row r="33" spans="2:15" x14ac:dyDescent="0.25">
      <c r="B33" s="2" t="s">
        <v>97</v>
      </c>
      <c r="D33" s="1755" t="s">
        <v>98</v>
      </c>
      <c r="E33" s="1755"/>
      <c r="F33" s="1755"/>
      <c r="G33" s="1756" t="s">
        <v>102</v>
      </c>
      <c r="H33" s="1756"/>
      <c r="I33" s="1756"/>
      <c r="J33" s="1757" t="s">
        <v>103</v>
      </c>
      <c r="K33" s="1757"/>
      <c r="L33" s="1757"/>
      <c r="M33" s="1758" t="s">
        <v>104</v>
      </c>
      <c r="N33" s="1758"/>
      <c r="O33" s="1758"/>
    </row>
    <row r="34" spans="2:15" x14ac:dyDescent="0.25">
      <c r="D34" s="1032" t="s">
        <v>99</v>
      </c>
      <c r="E34" s="1032" t="s">
        <v>100</v>
      </c>
      <c r="F34" s="1032" t="s">
        <v>101</v>
      </c>
      <c r="G34" s="1033" t="s">
        <v>99</v>
      </c>
      <c r="H34" s="1033" t="s">
        <v>100</v>
      </c>
      <c r="I34" s="1033" t="s">
        <v>101</v>
      </c>
      <c r="J34" s="1034" t="s">
        <v>99</v>
      </c>
      <c r="K34" s="1034" t="s">
        <v>100</v>
      </c>
      <c r="L34" s="1034" t="s">
        <v>101</v>
      </c>
      <c r="M34" s="1035" t="s">
        <v>99</v>
      </c>
      <c r="N34" s="1035" t="s">
        <v>100</v>
      </c>
      <c r="O34" s="1035" t="s">
        <v>101</v>
      </c>
    </row>
    <row r="35" spans="2:15" x14ac:dyDescent="0.25">
      <c r="B35" s="3" t="s">
        <v>110</v>
      </c>
      <c r="D35" s="1032"/>
      <c r="E35" s="1032"/>
      <c r="F35" s="1032"/>
      <c r="G35" s="1033"/>
      <c r="H35" s="1033"/>
      <c r="I35" s="1033"/>
      <c r="J35" s="1034"/>
      <c r="K35" s="1034"/>
      <c r="L35" s="1034"/>
      <c r="M35" s="1035"/>
      <c r="N35" s="1035"/>
      <c r="O35" s="1035"/>
    </row>
    <row r="36" spans="2:15" x14ac:dyDescent="0.25">
      <c r="B36" s="3" t="s">
        <v>105</v>
      </c>
      <c r="C36" s="3" t="s">
        <v>106</v>
      </c>
      <c r="D36" s="1032">
        <v>100</v>
      </c>
      <c r="E36" s="1032"/>
      <c r="F36" s="1032"/>
      <c r="G36" s="1033">
        <v>100</v>
      </c>
      <c r="H36" s="1033"/>
      <c r="I36" s="1033"/>
      <c r="J36" s="1034">
        <v>100</v>
      </c>
      <c r="K36" s="1034"/>
      <c r="L36" s="1034"/>
      <c r="M36" s="1035">
        <v>100</v>
      </c>
      <c r="N36" s="1035"/>
      <c r="O36" s="1035"/>
    </row>
    <row r="37" spans="2:15" x14ac:dyDescent="0.25">
      <c r="C37" s="3" t="s">
        <v>107</v>
      </c>
      <c r="D37" s="1032">
        <v>67</v>
      </c>
      <c r="E37" s="1032">
        <v>33</v>
      </c>
      <c r="F37" s="1032"/>
      <c r="G37" s="1033">
        <v>50</v>
      </c>
      <c r="H37" s="1033">
        <v>50</v>
      </c>
      <c r="I37" s="1033"/>
      <c r="J37" s="1034">
        <v>33</v>
      </c>
      <c r="K37" s="1034">
        <v>67</v>
      </c>
      <c r="L37" s="1034"/>
      <c r="M37" s="1035">
        <v>25</v>
      </c>
      <c r="N37" s="1035">
        <v>75</v>
      </c>
      <c r="O37" s="1035"/>
    </row>
    <row r="38" spans="2:15" x14ac:dyDescent="0.25">
      <c r="C38" s="3" t="s">
        <v>108</v>
      </c>
      <c r="D38" s="1032"/>
      <c r="E38" s="1032">
        <v>50</v>
      </c>
      <c r="F38" s="1032"/>
      <c r="G38" s="1033"/>
      <c r="H38" s="1033">
        <v>67</v>
      </c>
      <c r="I38" s="1033"/>
      <c r="J38" s="1034"/>
      <c r="K38" s="1034">
        <v>50</v>
      </c>
      <c r="L38" s="1034"/>
      <c r="M38" s="1035"/>
      <c r="N38" s="1035">
        <v>50</v>
      </c>
      <c r="O38" s="1035"/>
    </row>
    <row r="39" spans="2:15" x14ac:dyDescent="0.25">
      <c r="D39" s="1032"/>
      <c r="E39" s="1032"/>
      <c r="F39" s="1032"/>
      <c r="G39" s="1033"/>
      <c r="H39" s="1033"/>
      <c r="I39" s="1033"/>
      <c r="J39" s="1034"/>
      <c r="K39" s="1034"/>
      <c r="L39" s="1034"/>
      <c r="M39" s="1035"/>
      <c r="N39" s="1035"/>
      <c r="O39" s="1035"/>
    </row>
    <row r="40" spans="2:15" x14ac:dyDescent="0.25">
      <c r="B40" s="3" t="s">
        <v>112</v>
      </c>
      <c r="D40" s="1032"/>
      <c r="E40" s="1032">
        <v>25</v>
      </c>
      <c r="F40" s="1032">
        <v>50</v>
      </c>
      <c r="G40" s="1033"/>
      <c r="H40" s="1033">
        <v>40</v>
      </c>
      <c r="I40" s="1033">
        <v>60</v>
      </c>
      <c r="J40" s="1034"/>
      <c r="K40" s="1034">
        <v>40</v>
      </c>
      <c r="L40" s="1034">
        <v>60</v>
      </c>
      <c r="M40" s="1035"/>
      <c r="N40" s="1035">
        <v>40</v>
      </c>
      <c r="O40" s="1035">
        <v>60</v>
      </c>
    </row>
    <row r="41" spans="2:15" x14ac:dyDescent="0.25">
      <c r="B41" s="3" t="s">
        <v>109</v>
      </c>
      <c r="C41" s="3" t="s">
        <v>428</v>
      </c>
      <c r="D41" s="1032"/>
      <c r="E41" s="1032">
        <v>30</v>
      </c>
      <c r="F41" s="1032">
        <v>30</v>
      </c>
      <c r="G41" s="1033"/>
      <c r="H41" s="1033">
        <v>30</v>
      </c>
      <c r="I41" s="1033">
        <v>35</v>
      </c>
      <c r="J41" s="1034"/>
      <c r="K41" s="1034">
        <v>30</v>
      </c>
      <c r="L41" s="1034">
        <v>35</v>
      </c>
      <c r="M41" s="1035"/>
      <c r="N41" s="1035">
        <v>30</v>
      </c>
      <c r="O41" s="1035">
        <v>35</v>
      </c>
    </row>
    <row r="42" spans="2:15" x14ac:dyDescent="0.25">
      <c r="C42" s="3" t="s">
        <v>429</v>
      </c>
      <c r="D42" s="1032"/>
      <c r="E42" s="1032">
        <v>25</v>
      </c>
      <c r="F42" s="1032">
        <v>50</v>
      </c>
      <c r="G42" s="1033"/>
      <c r="H42" s="1033">
        <v>40</v>
      </c>
      <c r="I42" s="1033">
        <v>60</v>
      </c>
      <c r="J42" s="1034"/>
      <c r="K42" s="1034">
        <v>40</v>
      </c>
      <c r="L42" s="1034">
        <v>60</v>
      </c>
      <c r="M42" s="1035"/>
      <c r="N42" s="1035">
        <v>40</v>
      </c>
      <c r="O42" s="1035">
        <v>60</v>
      </c>
    </row>
    <row r="43" spans="2:15" x14ac:dyDescent="0.25">
      <c r="B43" s="3" t="s">
        <v>35</v>
      </c>
      <c r="D43" s="1032"/>
      <c r="E43" s="1032">
        <v>50</v>
      </c>
      <c r="F43" s="1032">
        <v>50</v>
      </c>
      <c r="G43" s="1033"/>
      <c r="H43" s="1033">
        <v>50</v>
      </c>
      <c r="I43" s="1033">
        <v>50</v>
      </c>
      <c r="J43" s="1034"/>
      <c r="K43" s="1034">
        <v>50</v>
      </c>
      <c r="L43" s="1034">
        <v>50</v>
      </c>
      <c r="M43" s="1035"/>
      <c r="N43" s="1036">
        <v>50</v>
      </c>
      <c r="O43" s="1036">
        <v>50</v>
      </c>
    </row>
    <row r="44" spans="2:15" x14ac:dyDescent="0.25">
      <c r="D44" s="3"/>
      <c r="E44" s="3"/>
      <c r="F44" s="3"/>
      <c r="G44" s="3"/>
      <c r="H44" s="3"/>
      <c r="I44" s="3"/>
      <c r="J44" s="3"/>
      <c r="K44" s="3"/>
      <c r="L44" s="3"/>
      <c r="M44" s="3"/>
      <c r="N44" s="3"/>
      <c r="O44" s="3"/>
    </row>
    <row r="45" spans="2:15" x14ac:dyDescent="0.25">
      <c r="D45" s="3"/>
      <c r="E45" s="3"/>
      <c r="F45" s="3"/>
      <c r="G45" s="3"/>
      <c r="H45" s="3"/>
      <c r="I45" s="3"/>
      <c r="J45" s="3"/>
      <c r="K45" s="3"/>
      <c r="L45" s="3"/>
      <c r="M45" s="3"/>
      <c r="N45" s="3"/>
      <c r="O45" s="3"/>
    </row>
    <row r="46" spans="2:15" x14ac:dyDescent="0.25">
      <c r="N46" s="3"/>
      <c r="O46" s="3"/>
    </row>
    <row r="47" spans="2:15" x14ac:dyDescent="0.25">
      <c r="N47" s="3"/>
      <c r="O47" s="3"/>
    </row>
    <row r="48" spans="2:15" x14ac:dyDescent="0.25">
      <c r="N48" s="3"/>
      <c r="O48" s="3"/>
    </row>
    <row r="49" spans="2:15" x14ac:dyDescent="0.25">
      <c r="N49" s="3"/>
      <c r="O49" s="3"/>
    </row>
    <row r="52" spans="2:15" x14ac:dyDescent="0.25">
      <c r="B52"/>
      <c r="C52"/>
    </row>
    <row r="53" spans="2:15" x14ac:dyDescent="0.25">
      <c r="B53"/>
      <c r="C53"/>
    </row>
    <row r="54" spans="2:15" x14ac:dyDescent="0.25">
      <c r="B54"/>
      <c r="C54"/>
    </row>
    <row r="55" spans="2:15" x14ac:dyDescent="0.25">
      <c r="B55"/>
      <c r="C55"/>
    </row>
    <row r="56" spans="2:15" x14ac:dyDescent="0.25">
      <c r="B56"/>
      <c r="C56" s="1"/>
    </row>
    <row r="57" spans="2:15" x14ac:dyDescent="0.25">
      <c r="B57"/>
      <c r="C57"/>
    </row>
    <row r="58" spans="2:15" x14ac:dyDescent="0.25">
      <c r="B58"/>
      <c r="D58" s="3"/>
    </row>
    <row r="59" spans="2:15" x14ac:dyDescent="0.25">
      <c r="B59"/>
      <c r="D59" s="3"/>
    </row>
    <row r="60" spans="2:15" x14ac:dyDescent="0.25">
      <c r="B60"/>
      <c r="D60" s="3"/>
    </row>
    <row r="61" spans="2:15" x14ac:dyDescent="0.25">
      <c r="B61"/>
      <c r="D61" s="3"/>
    </row>
    <row r="62" spans="2:15" x14ac:dyDescent="0.25">
      <c r="B62"/>
      <c r="D62" s="3"/>
    </row>
    <row r="63" spans="2:15" x14ac:dyDescent="0.25">
      <c r="B63"/>
      <c r="D63" s="3"/>
    </row>
    <row r="64" spans="2:15" x14ac:dyDescent="0.25">
      <c r="B64"/>
      <c r="D64" s="3"/>
    </row>
    <row r="65" spans="2:4" x14ac:dyDescent="0.25">
      <c r="B65"/>
      <c r="D65" s="3"/>
    </row>
    <row r="66" spans="2:4" x14ac:dyDescent="0.25">
      <c r="B66"/>
      <c r="D66" s="3"/>
    </row>
    <row r="67" spans="2:4" x14ac:dyDescent="0.25">
      <c r="B67"/>
      <c r="D67" s="3"/>
    </row>
    <row r="68" spans="2:4" x14ac:dyDescent="0.25">
      <c r="B68"/>
      <c r="C68"/>
    </row>
    <row r="69" spans="2:4" x14ac:dyDescent="0.25">
      <c r="B69"/>
      <c r="C69"/>
    </row>
    <row r="70" spans="2:4" x14ac:dyDescent="0.25">
      <c r="B70"/>
      <c r="C70"/>
    </row>
    <row r="71" spans="2:4" x14ac:dyDescent="0.25">
      <c r="B71"/>
      <c r="C71"/>
    </row>
    <row r="72" spans="2:4" x14ac:dyDescent="0.25">
      <c r="B72"/>
      <c r="C72"/>
    </row>
    <row r="73" spans="2:4" x14ac:dyDescent="0.25">
      <c r="B73"/>
      <c r="C73"/>
    </row>
    <row r="74" spans="2:4" x14ac:dyDescent="0.25">
      <c r="B74"/>
      <c r="C74"/>
    </row>
    <row r="75" spans="2:4" x14ac:dyDescent="0.25">
      <c r="B75"/>
      <c r="C75"/>
    </row>
    <row r="76" spans="2:4" x14ac:dyDescent="0.25">
      <c r="B76"/>
      <c r="C76"/>
    </row>
    <row r="77" spans="2:4" x14ac:dyDescent="0.25">
      <c r="B77"/>
      <c r="C77"/>
    </row>
    <row r="78" spans="2:4" x14ac:dyDescent="0.25">
      <c r="B78"/>
      <c r="C78"/>
    </row>
    <row r="79" spans="2:4" x14ac:dyDescent="0.25">
      <c r="B79"/>
      <c r="C79"/>
    </row>
    <row r="80" spans="2:4" x14ac:dyDescent="0.25">
      <c r="B80"/>
      <c r="C80"/>
    </row>
    <row r="81" spans="2:3" x14ac:dyDescent="0.25">
      <c r="B81"/>
      <c r="C81"/>
    </row>
    <row r="82" spans="2:3" x14ac:dyDescent="0.25">
      <c r="B82"/>
      <c r="C82"/>
    </row>
    <row r="83" spans="2:3" x14ac:dyDescent="0.25">
      <c r="B83"/>
      <c r="C83"/>
    </row>
    <row r="84" spans="2:3" x14ac:dyDescent="0.25">
      <c r="B84"/>
      <c r="C84"/>
    </row>
    <row r="85" spans="2:3" x14ac:dyDescent="0.25">
      <c r="B85"/>
      <c r="C85"/>
    </row>
    <row r="86" spans="2:3" x14ac:dyDescent="0.25">
      <c r="B86"/>
      <c r="C86"/>
    </row>
    <row r="87" spans="2:3" x14ac:dyDescent="0.25">
      <c r="B87"/>
      <c r="C87"/>
    </row>
    <row r="88" spans="2:3" x14ac:dyDescent="0.25">
      <c r="B88"/>
      <c r="C88"/>
    </row>
    <row r="89" spans="2:3" x14ac:dyDescent="0.25">
      <c r="B89"/>
      <c r="C89"/>
    </row>
    <row r="90" spans="2:3" x14ac:dyDescent="0.25">
      <c r="B90"/>
      <c r="C90"/>
    </row>
    <row r="91" spans="2:3" x14ac:dyDescent="0.25">
      <c r="B91"/>
      <c r="C91"/>
    </row>
    <row r="92" spans="2:3" x14ac:dyDescent="0.25">
      <c r="B92"/>
      <c r="C92"/>
    </row>
    <row r="93" spans="2:3" x14ac:dyDescent="0.25">
      <c r="B93"/>
      <c r="C93"/>
    </row>
    <row r="94" spans="2:3" x14ac:dyDescent="0.25">
      <c r="B94"/>
      <c r="C94"/>
    </row>
    <row r="95" spans="2:3" x14ac:dyDescent="0.25">
      <c r="B95"/>
      <c r="C95"/>
    </row>
    <row r="96" spans="2:3" x14ac:dyDescent="0.25">
      <c r="B96"/>
      <c r="C96"/>
    </row>
    <row r="97" spans="2:3" x14ac:dyDescent="0.25">
      <c r="B97"/>
      <c r="C97"/>
    </row>
    <row r="98" spans="2:3" x14ac:dyDescent="0.25">
      <c r="B98"/>
      <c r="C98"/>
    </row>
    <row r="99" spans="2:3" x14ac:dyDescent="0.25">
      <c r="B99"/>
      <c r="C99"/>
    </row>
    <row r="100" spans="2:3" x14ac:dyDescent="0.25">
      <c r="B100"/>
      <c r="C100"/>
    </row>
    <row r="101" spans="2:3" x14ac:dyDescent="0.25">
      <c r="B101"/>
      <c r="C101"/>
    </row>
    <row r="102" spans="2:3" x14ac:dyDescent="0.25">
      <c r="B102"/>
      <c r="C102"/>
    </row>
    <row r="103" spans="2:3" x14ac:dyDescent="0.25">
      <c r="B103"/>
      <c r="C103"/>
    </row>
    <row r="104" spans="2:3" x14ac:dyDescent="0.25">
      <c r="B104"/>
      <c r="C104"/>
    </row>
    <row r="105" spans="2:3" x14ac:dyDescent="0.25">
      <c r="B105"/>
      <c r="C105"/>
    </row>
    <row r="106" spans="2:3" x14ac:dyDescent="0.25">
      <c r="B106"/>
      <c r="C106"/>
    </row>
    <row r="107" spans="2:3" x14ac:dyDescent="0.25">
      <c r="B107"/>
      <c r="C107"/>
    </row>
    <row r="108" spans="2:3" x14ac:dyDescent="0.25">
      <c r="B108"/>
      <c r="C108"/>
    </row>
    <row r="109" spans="2:3" x14ac:dyDescent="0.25">
      <c r="B109"/>
      <c r="C109"/>
    </row>
    <row r="110" spans="2:3" x14ac:dyDescent="0.25">
      <c r="B110"/>
      <c r="C110"/>
    </row>
    <row r="111" spans="2:3" x14ac:dyDescent="0.25">
      <c r="B111"/>
      <c r="C111"/>
    </row>
    <row r="112" spans="2:3" x14ac:dyDescent="0.25">
      <c r="B112"/>
      <c r="C112"/>
    </row>
    <row r="113" spans="2:3" x14ac:dyDescent="0.25">
      <c r="B113"/>
      <c r="C113"/>
    </row>
    <row r="114" spans="2:3" x14ac:dyDescent="0.25">
      <c r="B114"/>
      <c r="C114"/>
    </row>
    <row r="115" spans="2:3" x14ac:dyDescent="0.25">
      <c r="B115"/>
      <c r="C115"/>
    </row>
    <row r="116" spans="2:3" x14ac:dyDescent="0.25">
      <c r="B116"/>
      <c r="C116"/>
    </row>
    <row r="117" spans="2:3" x14ac:dyDescent="0.25">
      <c r="B117"/>
      <c r="C117"/>
    </row>
    <row r="118" spans="2:3" x14ac:dyDescent="0.25">
      <c r="B118"/>
      <c r="C118"/>
    </row>
    <row r="119" spans="2:3" x14ac:dyDescent="0.25">
      <c r="B119"/>
      <c r="C119"/>
    </row>
    <row r="120" spans="2:3" x14ac:dyDescent="0.25">
      <c r="B120"/>
      <c r="C120"/>
    </row>
    <row r="121" spans="2:3" x14ac:dyDescent="0.25">
      <c r="B121"/>
      <c r="C121"/>
    </row>
    <row r="122" spans="2:3" x14ac:dyDescent="0.25">
      <c r="B122"/>
      <c r="C122"/>
    </row>
    <row r="123" spans="2:3" x14ac:dyDescent="0.25">
      <c r="B123"/>
      <c r="C123"/>
    </row>
    <row r="124" spans="2:3" x14ac:dyDescent="0.25">
      <c r="B124"/>
      <c r="C124"/>
    </row>
    <row r="125" spans="2:3" x14ac:dyDescent="0.25">
      <c r="B125"/>
      <c r="C125"/>
    </row>
    <row r="126" spans="2:3" x14ac:dyDescent="0.25">
      <c r="B126"/>
      <c r="C126"/>
    </row>
    <row r="127" spans="2:3" x14ac:dyDescent="0.25">
      <c r="B127"/>
      <c r="C127"/>
    </row>
    <row r="128" spans="2:3" x14ac:dyDescent="0.25">
      <c r="B128"/>
      <c r="C128"/>
    </row>
    <row r="129" spans="2:3" x14ac:dyDescent="0.25">
      <c r="B129"/>
      <c r="C129"/>
    </row>
    <row r="130" spans="2:3" x14ac:dyDescent="0.25">
      <c r="B130"/>
      <c r="C130"/>
    </row>
    <row r="131" spans="2:3" x14ac:dyDescent="0.25">
      <c r="B131"/>
      <c r="C131"/>
    </row>
    <row r="132" spans="2:3" x14ac:dyDescent="0.25">
      <c r="B132"/>
      <c r="C132"/>
    </row>
    <row r="133" spans="2:3" x14ac:dyDescent="0.25">
      <c r="B133"/>
      <c r="C133"/>
    </row>
    <row r="134" spans="2:3" x14ac:dyDescent="0.25">
      <c r="B134"/>
      <c r="C134"/>
    </row>
    <row r="135" spans="2:3" x14ac:dyDescent="0.25">
      <c r="B135"/>
      <c r="C135"/>
    </row>
    <row r="136" spans="2:3" x14ac:dyDescent="0.25">
      <c r="B136"/>
      <c r="C136"/>
    </row>
    <row r="137" spans="2:3" x14ac:dyDescent="0.25">
      <c r="B137"/>
      <c r="C137"/>
    </row>
    <row r="138" spans="2:3" x14ac:dyDescent="0.25">
      <c r="B138"/>
      <c r="C138"/>
    </row>
    <row r="139" spans="2:3" x14ac:dyDescent="0.25">
      <c r="B139"/>
      <c r="C139"/>
    </row>
    <row r="140" spans="2:3" x14ac:dyDescent="0.25">
      <c r="B140"/>
      <c r="C140"/>
    </row>
    <row r="141" spans="2:3" x14ac:dyDescent="0.25">
      <c r="B141"/>
      <c r="C141"/>
    </row>
    <row r="142" spans="2:3" x14ac:dyDescent="0.25">
      <c r="B142"/>
      <c r="C142"/>
    </row>
    <row r="143" spans="2:3" x14ac:dyDescent="0.25">
      <c r="B143"/>
      <c r="C143"/>
    </row>
    <row r="144" spans="2:3" x14ac:dyDescent="0.25">
      <c r="B144"/>
      <c r="C144"/>
    </row>
    <row r="145" spans="2:3" x14ac:dyDescent="0.25">
      <c r="B145"/>
      <c r="C145"/>
    </row>
    <row r="146" spans="2:3" x14ac:dyDescent="0.25">
      <c r="B146"/>
      <c r="C146"/>
    </row>
    <row r="147" spans="2:3" x14ac:dyDescent="0.25">
      <c r="B147"/>
      <c r="C147"/>
    </row>
    <row r="148" spans="2:3" x14ac:dyDescent="0.25">
      <c r="B148"/>
      <c r="C148"/>
    </row>
    <row r="149" spans="2:3" x14ac:dyDescent="0.25">
      <c r="B149"/>
      <c r="C149"/>
    </row>
    <row r="150" spans="2:3" x14ac:dyDescent="0.25">
      <c r="B150"/>
      <c r="C150"/>
    </row>
    <row r="151" spans="2:3" x14ac:dyDescent="0.25">
      <c r="B151"/>
      <c r="C151"/>
    </row>
    <row r="152" spans="2:3" x14ac:dyDescent="0.25">
      <c r="B152"/>
      <c r="C152"/>
    </row>
    <row r="153" spans="2:3" x14ac:dyDescent="0.25">
      <c r="B153"/>
      <c r="C153"/>
    </row>
    <row r="154" spans="2:3" x14ac:dyDescent="0.25">
      <c r="B154"/>
      <c r="C154"/>
    </row>
    <row r="155" spans="2:3" x14ac:dyDescent="0.25">
      <c r="B155"/>
      <c r="C155"/>
    </row>
    <row r="156" spans="2:3" x14ac:dyDescent="0.25">
      <c r="B156"/>
      <c r="C156"/>
    </row>
    <row r="157" spans="2:3" x14ac:dyDescent="0.25">
      <c r="B157"/>
      <c r="C157"/>
    </row>
    <row r="158" spans="2:3" x14ac:dyDescent="0.25">
      <c r="B158"/>
      <c r="C158"/>
    </row>
    <row r="159" spans="2:3" x14ac:dyDescent="0.25">
      <c r="B159"/>
      <c r="C159"/>
    </row>
    <row r="160" spans="2:3" x14ac:dyDescent="0.25">
      <c r="B160"/>
      <c r="C160"/>
    </row>
    <row r="161" spans="2:3" x14ac:dyDescent="0.25">
      <c r="B161"/>
      <c r="C161"/>
    </row>
    <row r="162" spans="2:3" x14ac:dyDescent="0.25">
      <c r="B162"/>
      <c r="C162"/>
    </row>
    <row r="163" spans="2:3" x14ac:dyDescent="0.25">
      <c r="B163"/>
      <c r="C163"/>
    </row>
    <row r="164" spans="2:3" x14ac:dyDescent="0.25">
      <c r="B164"/>
      <c r="C164"/>
    </row>
    <row r="165" spans="2:3" x14ac:dyDescent="0.25">
      <c r="B165"/>
      <c r="C165"/>
    </row>
    <row r="166" spans="2:3" x14ac:dyDescent="0.25">
      <c r="B166"/>
      <c r="C166"/>
    </row>
    <row r="167" spans="2:3" x14ac:dyDescent="0.25">
      <c r="B167"/>
      <c r="C167"/>
    </row>
    <row r="168" spans="2:3" x14ac:dyDescent="0.25">
      <c r="B168"/>
      <c r="C168"/>
    </row>
    <row r="169" spans="2:3" x14ac:dyDescent="0.25">
      <c r="B169"/>
      <c r="C169"/>
    </row>
    <row r="170" spans="2:3" x14ac:dyDescent="0.25">
      <c r="B170"/>
      <c r="C170"/>
    </row>
    <row r="171" spans="2:3" x14ac:dyDescent="0.25">
      <c r="B171"/>
      <c r="C171"/>
    </row>
    <row r="172" spans="2:3" x14ac:dyDescent="0.25">
      <c r="B172"/>
      <c r="C172"/>
    </row>
    <row r="173" spans="2:3" x14ac:dyDescent="0.25">
      <c r="B173"/>
      <c r="C173"/>
    </row>
    <row r="174" spans="2:3" x14ac:dyDescent="0.25">
      <c r="B174"/>
      <c r="C174"/>
    </row>
    <row r="175" spans="2:3" x14ac:dyDescent="0.25">
      <c r="B175"/>
      <c r="C175"/>
    </row>
    <row r="176" spans="2:3" x14ac:dyDescent="0.25">
      <c r="B176"/>
      <c r="C176"/>
    </row>
    <row r="177" spans="2:3" x14ac:dyDescent="0.25">
      <c r="B177"/>
      <c r="C177"/>
    </row>
    <row r="178" spans="2:3" x14ac:dyDescent="0.25">
      <c r="B178"/>
      <c r="C178"/>
    </row>
    <row r="179" spans="2:3" x14ac:dyDescent="0.25">
      <c r="B179"/>
      <c r="C179"/>
    </row>
    <row r="180" spans="2:3" x14ac:dyDescent="0.25">
      <c r="B180"/>
      <c r="C180"/>
    </row>
    <row r="181" spans="2:3" x14ac:dyDescent="0.25">
      <c r="B181"/>
      <c r="C181"/>
    </row>
    <row r="182" spans="2:3" x14ac:dyDescent="0.25">
      <c r="B182"/>
      <c r="C182"/>
    </row>
    <row r="183" spans="2:3" x14ac:dyDescent="0.25">
      <c r="B183"/>
      <c r="C183"/>
    </row>
    <row r="184" spans="2:3" x14ac:dyDescent="0.25">
      <c r="B184"/>
      <c r="C184"/>
    </row>
    <row r="185" spans="2:3" x14ac:dyDescent="0.25">
      <c r="B185"/>
      <c r="C185"/>
    </row>
    <row r="186" spans="2:3" x14ac:dyDescent="0.25">
      <c r="B186"/>
      <c r="C186"/>
    </row>
    <row r="187" spans="2:3" x14ac:dyDescent="0.25">
      <c r="B187"/>
      <c r="C187"/>
    </row>
    <row r="188" spans="2:3" x14ac:dyDescent="0.25">
      <c r="B188"/>
      <c r="C188"/>
    </row>
    <row r="189" spans="2:3" x14ac:dyDescent="0.25">
      <c r="B189"/>
      <c r="C189"/>
    </row>
  </sheetData>
  <sheetProtection sheet="1" formatColumns="0" formatRows="0" selectLockedCells="1"/>
  <mergeCells count="4">
    <mergeCell ref="D33:F33"/>
    <mergeCell ref="G33:I33"/>
    <mergeCell ref="J33:L33"/>
    <mergeCell ref="M33:O33"/>
  </mergeCells>
  <pageMargins left="0.7" right="0.7" top="0.78740157499999996" bottom="0.78740157499999996" header="0.3" footer="0.3"/>
  <pageSetup paperSize="9" orientation="portrait" horizontalDpi="4294967293" vertic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BE23C-2338-4963-89FD-08FFD72D58B9}">
  <sheetPr>
    <tabColor theme="6"/>
  </sheetPr>
  <dimension ref="A1:CG111"/>
  <sheetViews>
    <sheetView zoomScale="90" zoomScaleNormal="90" workbookViewId="0">
      <selection activeCell="B8" sqref="B8"/>
    </sheetView>
  </sheetViews>
  <sheetFormatPr baseColWidth="10" defaultRowHeight="15.75" x14ac:dyDescent="0.25"/>
  <cols>
    <col min="1" max="1" width="20.42578125" style="112" customWidth="1"/>
    <col min="2" max="2" width="8.7109375" style="80" customWidth="1"/>
    <col min="3" max="3" width="22.140625" style="80" customWidth="1"/>
    <col min="4" max="4" width="6.85546875" style="112" customWidth="1"/>
    <col min="5" max="6" width="8.5703125" style="80" customWidth="1"/>
    <col min="7" max="7" width="11.140625" style="80" customWidth="1"/>
    <col min="8" max="8" width="16.28515625" style="80" customWidth="1"/>
    <col min="9" max="9" width="5.42578125" style="80" customWidth="1"/>
    <col min="10" max="10" width="16.7109375" style="80" customWidth="1"/>
    <col min="11" max="11" width="4.28515625" style="80" customWidth="1"/>
    <col min="12" max="12" width="6.85546875" style="80" customWidth="1"/>
    <col min="13" max="13" width="8" style="80" customWidth="1"/>
    <col min="14" max="14" width="9.140625" style="80" customWidth="1"/>
    <col min="15" max="15" width="4" style="80" customWidth="1"/>
    <col min="16" max="16" width="12" style="80" customWidth="1"/>
    <col min="17" max="17" width="8.85546875" style="112" customWidth="1"/>
    <col min="18" max="18" width="12.85546875" style="241" customWidth="1"/>
    <col min="19" max="19" width="8.85546875" style="241" customWidth="1"/>
    <col min="20" max="20" width="9.140625" style="80" customWidth="1"/>
    <col min="21" max="21" width="1.85546875" style="80" customWidth="1"/>
    <col min="22" max="22" width="14.7109375" style="80" customWidth="1"/>
    <col min="23" max="23" width="11.42578125" style="80" customWidth="1"/>
    <col min="24" max="24" width="10.7109375" style="80" customWidth="1"/>
    <col min="25" max="25" width="12.140625" style="80" customWidth="1"/>
    <col min="26" max="26" width="5.85546875" style="80" customWidth="1"/>
    <col min="27" max="27" width="7.140625" style="80" customWidth="1"/>
    <col min="28" max="29" width="6.28515625" style="80" customWidth="1"/>
    <col min="30" max="30" width="1.28515625" style="80" customWidth="1"/>
    <col min="31" max="31" width="10" style="80" customWidth="1"/>
    <col min="32" max="32" width="12.28515625" style="80" customWidth="1"/>
    <col min="33" max="33" width="6.5703125" style="80" customWidth="1"/>
    <col min="34" max="36" width="6.85546875" style="80" customWidth="1"/>
    <col min="37" max="37" width="1.28515625" style="80" customWidth="1"/>
    <col min="38" max="38" width="10.140625" style="80" customWidth="1"/>
    <col min="39" max="39" width="12.42578125" style="80" customWidth="1"/>
    <col min="40" max="40" width="6.5703125" style="80" customWidth="1"/>
    <col min="41" max="43" width="6.140625" style="80" customWidth="1"/>
    <col min="44" max="44" width="1" style="80" customWidth="1"/>
    <col min="45" max="46" width="2.85546875" style="80" customWidth="1"/>
    <col min="47" max="47" width="3.42578125" style="80" customWidth="1"/>
    <col min="48" max="53" width="2.85546875" style="80" customWidth="1"/>
    <col min="54" max="54" width="3.85546875" style="80" customWidth="1"/>
    <col min="55" max="57" width="2.85546875" style="80" customWidth="1"/>
    <col min="58" max="58" width="1.5703125" style="80" customWidth="1"/>
    <col min="59" max="59" width="7.28515625" style="80" customWidth="1"/>
    <col min="60" max="60" width="7.42578125" style="80" customWidth="1"/>
    <col min="61" max="61" width="7.28515625" style="80" customWidth="1"/>
    <col min="62" max="62" width="7.7109375" style="80" customWidth="1"/>
    <col min="63" max="63" width="7.42578125" style="80" customWidth="1"/>
    <col min="64" max="64" width="2" style="80" customWidth="1"/>
    <col min="65" max="65" width="7.5703125" style="80" customWidth="1"/>
    <col min="66" max="66" width="7.42578125" style="80" customWidth="1"/>
    <col min="67" max="67" width="5.7109375" style="80" customWidth="1"/>
    <col min="68" max="68" width="7.5703125" style="80" customWidth="1"/>
    <col min="69" max="70" width="5.5703125" style="80" customWidth="1"/>
    <col min="71" max="71" width="12.85546875" style="80" customWidth="1"/>
    <col min="72" max="73" width="5.42578125" style="390" customWidth="1"/>
    <col min="74" max="74" width="13.5703125" style="80" customWidth="1"/>
    <col min="75" max="75" width="48.85546875" style="80" customWidth="1"/>
    <col min="76" max="76" width="7" style="124" customWidth="1"/>
    <col min="77" max="77" width="16" style="124" customWidth="1"/>
    <col min="78" max="78" width="11.42578125" style="124"/>
    <col min="79" max="79" width="13" style="124" customWidth="1"/>
    <col min="80" max="80" width="29.85546875" style="641" customWidth="1"/>
    <col min="81" max="81" width="24.85546875" style="393" customWidth="1"/>
    <col min="82" max="82" width="11.42578125" style="352"/>
    <col min="83" max="16384" width="11.42578125" style="80"/>
  </cols>
  <sheetData>
    <row r="1" spans="1:85" ht="17.25" customHeight="1" thickBot="1" x14ac:dyDescent="0.3">
      <c r="A1" s="269"/>
      <c r="B1" s="270" t="s">
        <v>234</v>
      </c>
      <c r="C1" s="1350" t="str">
        <f>'DüV-N-Ackerbau (1)'!C1</f>
        <v>Testbetrieb</v>
      </c>
      <c r="D1" s="1351"/>
      <c r="E1" s="448"/>
      <c r="F1" s="485" t="s">
        <v>235</v>
      </c>
      <c r="G1" s="372">
        <v>2022</v>
      </c>
      <c r="H1" s="448"/>
      <c r="I1" s="1352" t="s">
        <v>34</v>
      </c>
      <c r="J1" s="1353"/>
      <c r="K1" s="448"/>
      <c r="L1" s="1291" t="s">
        <v>1075</v>
      </c>
      <c r="M1" s="1292"/>
      <c r="N1" s="1292"/>
      <c r="O1" s="1292"/>
      <c r="P1" s="1292"/>
      <c r="Q1" s="448"/>
      <c r="R1" s="477"/>
      <c r="S1" s="477"/>
      <c r="T1" s="448"/>
      <c r="BH1" s="400"/>
      <c r="BI1" s="400"/>
      <c r="BJ1" s="400"/>
      <c r="BK1" s="400"/>
      <c r="BL1" s="400"/>
      <c r="BM1" s="400"/>
      <c r="BN1" s="400"/>
      <c r="BO1" s="400"/>
      <c r="BP1" s="400"/>
      <c r="BQ1" s="400"/>
      <c r="BW1" s="519" t="s">
        <v>237</v>
      </c>
      <c r="BX1" s="519" t="s">
        <v>33</v>
      </c>
      <c r="BY1" s="519" t="s">
        <v>226</v>
      </c>
      <c r="BZ1" s="60" t="s">
        <v>227</v>
      </c>
      <c r="CA1" s="60" t="s">
        <v>228</v>
      </c>
      <c r="CB1" s="517" t="s">
        <v>329</v>
      </c>
      <c r="CC1" s="393" t="s">
        <v>768</v>
      </c>
      <c r="CD1" s="640" t="s">
        <v>771</v>
      </c>
    </row>
    <row r="2" spans="1:85" ht="19.5" customHeight="1" thickBot="1" x14ac:dyDescent="0.3">
      <c r="A2" s="271"/>
      <c r="B2" s="41" t="s">
        <v>236</v>
      </c>
      <c r="C2" s="1350">
        <f>'DüV-N-Ackerbau (1)'!C2</f>
        <v>1</v>
      </c>
      <c r="D2" s="1351"/>
      <c r="E2" s="1359" t="s">
        <v>1072</v>
      </c>
      <c r="F2" s="1360"/>
      <c r="G2" s="1360"/>
      <c r="I2" s="1356" t="s">
        <v>36</v>
      </c>
      <c r="J2" s="1336"/>
      <c r="L2" s="1293"/>
      <c r="M2" s="1293"/>
      <c r="N2" s="1293"/>
      <c r="O2" s="1293"/>
      <c r="P2" s="1293"/>
      <c r="Q2" s="80"/>
      <c r="R2" s="474"/>
      <c r="S2" s="474"/>
      <c r="BG2" s="1286" t="s">
        <v>1169</v>
      </c>
      <c r="BH2" s="1286"/>
      <c r="BI2" s="1286"/>
      <c r="BJ2" s="1286"/>
      <c r="BK2" s="1286"/>
      <c r="BL2" s="1286"/>
      <c r="BM2" s="1286"/>
      <c r="BN2" s="1286"/>
      <c r="BO2" s="1286"/>
      <c r="BP2" s="1286"/>
      <c r="BQ2" s="1286"/>
      <c r="BW2" s="129" t="s">
        <v>774</v>
      </c>
      <c r="BX2" s="519"/>
      <c r="BY2" s="519"/>
      <c r="BZ2" s="60"/>
      <c r="CA2" s="60"/>
    </row>
    <row r="3" spans="1:85" ht="15" customHeight="1" thickBot="1" x14ac:dyDescent="0.3">
      <c r="A3" s="271"/>
      <c r="B3" s="41" t="s">
        <v>251</v>
      </c>
      <c r="C3" s="1350">
        <f>'DüV-N-Ackerbau (1)'!C3</f>
        <v>123456</v>
      </c>
      <c r="D3" s="1351"/>
      <c r="E3" s="1361"/>
      <c r="F3" s="1362"/>
      <c r="G3" s="1362"/>
      <c r="J3" s="400"/>
      <c r="K3" s="657"/>
      <c r="L3" s="1294"/>
      <c r="M3" s="1294"/>
      <c r="N3" s="1294"/>
      <c r="O3" s="1294"/>
      <c r="P3" s="1294"/>
      <c r="Q3" s="80"/>
      <c r="R3" s="474"/>
      <c r="S3" s="474"/>
      <c r="AE3" s="15"/>
      <c r="AF3" s="400"/>
      <c r="AG3" s="400"/>
      <c r="AH3" s="400"/>
      <c r="AI3" s="400"/>
      <c r="AJ3" s="400"/>
      <c r="AK3" s="400"/>
      <c r="AL3" s="400"/>
      <c r="AM3" s="400"/>
      <c r="AN3" s="400"/>
      <c r="AP3" s="400"/>
      <c r="AQ3" s="400"/>
      <c r="AR3" s="400"/>
      <c r="AS3" s="400"/>
      <c r="AT3" s="400"/>
      <c r="AU3" s="400"/>
      <c r="AV3" s="400"/>
      <c r="AW3" s="400"/>
      <c r="AX3" s="400"/>
      <c r="AY3" s="400"/>
      <c r="AZ3" s="400"/>
      <c r="BA3" s="400"/>
      <c r="BB3" s="400"/>
      <c r="BC3" s="400"/>
      <c r="BD3" s="400"/>
      <c r="BE3" s="400"/>
      <c r="BF3" s="400"/>
      <c r="BG3" s="1286"/>
      <c r="BH3" s="1286"/>
      <c r="BI3" s="1286"/>
      <c r="BJ3" s="1286"/>
      <c r="BK3" s="1286"/>
      <c r="BL3" s="1286"/>
      <c r="BM3" s="1286"/>
      <c r="BN3" s="1286"/>
      <c r="BO3" s="1286"/>
      <c r="BP3" s="1286"/>
      <c r="BQ3" s="1286"/>
      <c r="BW3" s="123" t="s">
        <v>31</v>
      </c>
      <c r="BX3" s="123">
        <v>0</v>
      </c>
      <c r="BY3" s="123">
        <v>0</v>
      </c>
      <c r="BZ3" s="124">
        <v>0</v>
      </c>
      <c r="CA3" s="124">
        <v>0</v>
      </c>
      <c r="CB3" s="641">
        <v>0</v>
      </c>
      <c r="CC3" s="393">
        <v>0</v>
      </c>
      <c r="CD3" s="352">
        <f>BX3*CC3</f>
        <v>0</v>
      </c>
    </row>
    <row r="4" spans="1:85" ht="35.25" customHeight="1" x14ac:dyDescent="0.25">
      <c r="A4" s="1305" t="s">
        <v>1100</v>
      </c>
      <c r="B4" s="1306"/>
      <c r="C4" s="1306"/>
      <c r="D4" s="1306"/>
      <c r="E4" s="1306"/>
      <c r="F4" s="1306"/>
      <c r="G4" s="1306"/>
      <c r="H4" s="1306"/>
      <c r="I4" s="1306"/>
      <c r="J4" s="1306"/>
      <c r="K4" s="1306"/>
      <c r="L4" s="1306"/>
      <c r="M4" s="1306"/>
      <c r="N4" s="1306"/>
      <c r="O4" s="1306"/>
      <c r="P4" s="1306"/>
      <c r="Q4" s="1306"/>
      <c r="R4" s="1306"/>
      <c r="S4" s="1306"/>
      <c r="T4" s="1307"/>
      <c r="V4" s="1280" t="s">
        <v>1164</v>
      </c>
      <c r="W4" s="1281"/>
      <c r="X4" s="1281"/>
      <c r="Y4" s="1281"/>
      <c r="Z4" s="1281"/>
      <c r="AA4" s="1281"/>
      <c r="AB4" s="1281"/>
      <c r="AC4" s="1281"/>
      <c r="AD4" s="1281"/>
      <c r="AE4" s="1281"/>
      <c r="AF4" s="1281"/>
      <c r="AG4" s="1281"/>
      <c r="AH4" s="1281"/>
      <c r="AI4" s="1281"/>
      <c r="AJ4" s="1281"/>
      <c r="AK4" s="1281"/>
      <c r="AL4" s="1281"/>
      <c r="AM4" s="1281"/>
      <c r="AN4" s="1281"/>
      <c r="AO4" s="1281"/>
      <c r="AP4" s="1281"/>
      <c r="AQ4" s="1281"/>
      <c r="AR4" s="1281"/>
      <c r="AS4" s="1281"/>
      <c r="AT4" s="1281"/>
      <c r="AU4" s="1281"/>
      <c r="AV4" s="1281"/>
      <c r="AW4" s="1281"/>
      <c r="AX4" s="1281"/>
      <c r="AY4" s="1281"/>
      <c r="AZ4" s="1281"/>
      <c r="BA4" s="1281"/>
      <c r="BB4" s="1281"/>
      <c r="BC4" s="1281"/>
      <c r="BD4" s="1281"/>
      <c r="BE4" s="1281"/>
      <c r="BG4" s="1286"/>
      <c r="BH4" s="1286"/>
      <c r="BI4" s="1286"/>
      <c r="BJ4" s="1286"/>
      <c r="BK4" s="1286"/>
      <c r="BL4" s="1286"/>
      <c r="BM4" s="1286"/>
      <c r="BN4" s="1286"/>
      <c r="BO4" s="1286"/>
      <c r="BP4" s="1286"/>
      <c r="BQ4" s="1286"/>
      <c r="BW4" s="240" t="s">
        <v>244</v>
      </c>
      <c r="BX4" s="240">
        <v>20</v>
      </c>
      <c r="BY4" s="240">
        <v>80</v>
      </c>
      <c r="BZ4" s="240">
        <v>1</v>
      </c>
      <c r="CA4" s="240">
        <v>1.5</v>
      </c>
      <c r="CB4" s="641">
        <v>60</v>
      </c>
      <c r="CC4" s="393">
        <v>2</v>
      </c>
      <c r="CD4" s="352">
        <f t="shared" ref="CD4:CD61" si="0">BX4*CC4</f>
        <v>40</v>
      </c>
    </row>
    <row r="5" spans="1:85" ht="17.25" customHeight="1" thickBot="1" x14ac:dyDescent="0.3">
      <c r="A5" s="1308" t="s">
        <v>1165</v>
      </c>
      <c r="B5" s="1294"/>
      <c r="C5" s="1294"/>
      <c r="D5" s="1294"/>
      <c r="E5" s="1294"/>
      <c r="F5" s="1294"/>
      <c r="G5" s="1294"/>
      <c r="H5" s="1294"/>
      <c r="I5" s="1294"/>
      <c r="J5" s="1294"/>
      <c r="K5" s="1294"/>
      <c r="L5" s="1293"/>
      <c r="M5" s="1293"/>
      <c r="N5" s="1294"/>
      <c r="O5" s="1294"/>
      <c r="P5" s="1294"/>
      <c r="Q5" s="1294"/>
      <c r="R5" s="1294"/>
      <c r="S5" s="1294"/>
      <c r="T5" s="1309"/>
      <c r="V5" s="1288" t="s">
        <v>1033</v>
      </c>
      <c r="W5" s="1286"/>
      <c r="X5" s="1286"/>
      <c r="Y5" s="1286"/>
      <c r="Z5" s="1286"/>
      <c r="AA5" s="1286"/>
      <c r="AB5" s="1286"/>
      <c r="AC5" s="1286"/>
      <c r="AD5" s="1286"/>
      <c r="AE5" s="1286"/>
      <c r="AF5" s="1286"/>
      <c r="AG5" s="1286"/>
      <c r="AH5" s="1286"/>
      <c r="AI5" s="1286"/>
      <c r="AJ5" s="1286"/>
      <c r="AK5" s="1286"/>
      <c r="AL5" s="1286"/>
      <c r="AM5" s="1286"/>
      <c r="AN5" s="1286"/>
      <c r="AO5" s="1286"/>
      <c r="AP5" s="1286"/>
      <c r="AQ5" s="1286"/>
      <c r="AR5" s="1286"/>
      <c r="AS5" s="1286"/>
      <c r="AT5" s="1286"/>
      <c r="AU5" s="1286"/>
      <c r="AV5" s="1286"/>
      <c r="AW5" s="1286"/>
      <c r="AX5" s="1286"/>
      <c r="AY5" s="1286"/>
      <c r="AZ5" s="1286"/>
      <c r="BA5" s="1286"/>
      <c r="BB5" s="1286"/>
      <c r="BC5" s="1286"/>
      <c r="BD5" s="1286"/>
      <c r="BE5" s="1286"/>
      <c r="BG5" s="1289" t="s">
        <v>1081</v>
      </c>
      <c r="BH5" s="1289"/>
      <c r="BI5" s="1289"/>
      <c r="BJ5" s="1289"/>
      <c r="BK5" s="1289"/>
      <c r="BL5" s="393"/>
      <c r="BM5" s="1277" t="s">
        <v>1092</v>
      </c>
      <c r="BN5" s="1278"/>
      <c r="BO5" s="1278"/>
      <c r="BP5" s="1278"/>
      <c r="BQ5" s="1278"/>
      <c r="BR5" s="776"/>
      <c r="BW5" s="580" t="s">
        <v>604</v>
      </c>
      <c r="BX5" s="580">
        <v>120</v>
      </c>
      <c r="BY5" s="580">
        <v>200</v>
      </c>
      <c r="BZ5" s="580">
        <v>0.5</v>
      </c>
      <c r="CA5" s="580">
        <v>0.75</v>
      </c>
      <c r="CB5" s="641">
        <v>90</v>
      </c>
      <c r="CC5" s="393">
        <v>0.5</v>
      </c>
      <c r="CD5" s="352">
        <f t="shared" si="0"/>
        <v>60</v>
      </c>
    </row>
    <row r="6" spans="1:85" ht="35.25" customHeight="1" x14ac:dyDescent="0.25">
      <c r="A6" s="1363" t="s">
        <v>1091</v>
      </c>
      <c r="B6" s="1365" t="s">
        <v>570</v>
      </c>
      <c r="C6" s="1303" t="s">
        <v>306</v>
      </c>
      <c r="D6" s="1366" t="s">
        <v>301</v>
      </c>
      <c r="E6" s="1367"/>
      <c r="F6" s="1368" t="s">
        <v>302</v>
      </c>
      <c r="G6" s="1369"/>
      <c r="H6" s="1295" t="s">
        <v>6</v>
      </c>
      <c r="I6" s="1282" t="s">
        <v>163</v>
      </c>
      <c r="J6" s="1295" t="s">
        <v>8</v>
      </c>
      <c r="K6" s="1297" t="s">
        <v>163</v>
      </c>
      <c r="L6" s="1299" t="s">
        <v>541</v>
      </c>
      <c r="M6" s="1301" t="s">
        <v>229</v>
      </c>
      <c r="N6" s="1303" t="s">
        <v>262</v>
      </c>
      <c r="O6" s="1282" t="s">
        <v>163</v>
      </c>
      <c r="P6" s="1284" t="s">
        <v>1071</v>
      </c>
      <c r="Q6" s="1316" t="s">
        <v>1028</v>
      </c>
      <c r="R6" s="1317"/>
      <c r="S6" s="1314" t="s">
        <v>1150</v>
      </c>
      <c r="T6" s="1315"/>
      <c r="V6" s="1318" t="s">
        <v>1152</v>
      </c>
      <c r="W6" s="1287" t="s">
        <v>631</v>
      </c>
      <c r="X6" s="1312" t="s">
        <v>1102</v>
      </c>
      <c r="Y6" s="1313"/>
      <c r="Z6" s="1313"/>
      <c r="AA6" s="1313"/>
      <c r="AB6" s="1313"/>
      <c r="AC6" s="1313"/>
      <c r="AE6" s="1312" t="s">
        <v>851</v>
      </c>
      <c r="AF6" s="1313"/>
      <c r="AG6" s="1313"/>
      <c r="AH6" s="1313"/>
      <c r="AI6" s="1313"/>
      <c r="AJ6" s="1313"/>
      <c r="AL6" s="1312" t="s">
        <v>852</v>
      </c>
      <c r="AM6" s="1313"/>
      <c r="AN6" s="1313"/>
      <c r="AO6" s="1313"/>
      <c r="AP6" s="1313"/>
      <c r="AQ6" s="1313"/>
      <c r="AR6" s="112"/>
      <c r="AS6" s="1312" t="s">
        <v>853</v>
      </c>
      <c r="AT6" s="1313"/>
      <c r="AU6" s="1313"/>
      <c r="AV6" s="1313"/>
      <c r="AW6" s="1313"/>
      <c r="AX6" s="1313"/>
      <c r="AY6" s="21"/>
      <c r="AZ6" s="1312" t="s">
        <v>854</v>
      </c>
      <c r="BA6" s="1313"/>
      <c r="BB6" s="1313"/>
      <c r="BC6" s="1313"/>
      <c r="BD6" s="1313"/>
      <c r="BE6" s="1313"/>
      <c r="BG6" s="1290"/>
      <c r="BH6" s="1290"/>
      <c r="BI6" s="1290"/>
      <c r="BJ6" s="1290"/>
      <c r="BK6" s="1290"/>
      <c r="BL6" s="393"/>
      <c r="BM6" s="1279"/>
      <c r="BN6" s="1279"/>
      <c r="BO6" s="1279"/>
      <c r="BP6" s="1279"/>
      <c r="BQ6" s="1279"/>
      <c r="BR6" s="776"/>
      <c r="BW6" s="580" t="s">
        <v>759</v>
      </c>
      <c r="BX6" s="580">
        <v>60</v>
      </c>
      <c r="BY6" s="580">
        <v>200</v>
      </c>
      <c r="BZ6" s="580">
        <v>1</v>
      </c>
      <c r="CA6" s="580">
        <v>1.5</v>
      </c>
      <c r="CB6" s="641">
        <v>90</v>
      </c>
      <c r="CC6" s="393">
        <v>0.8</v>
      </c>
      <c r="CD6" s="352">
        <f t="shared" si="0"/>
        <v>48</v>
      </c>
    </row>
    <row r="7" spans="1:85" ht="66" customHeight="1" thickBot="1" x14ac:dyDescent="0.3">
      <c r="A7" s="1364"/>
      <c r="B7" s="1365"/>
      <c r="C7" s="1303"/>
      <c r="D7" s="404" t="s">
        <v>33</v>
      </c>
      <c r="E7" s="405" t="s">
        <v>303</v>
      </c>
      <c r="F7" s="658" t="s">
        <v>603</v>
      </c>
      <c r="G7" s="405" t="s">
        <v>304</v>
      </c>
      <c r="H7" s="1296"/>
      <c r="I7" s="1283"/>
      <c r="J7" s="1296"/>
      <c r="K7" s="1298"/>
      <c r="L7" s="1300"/>
      <c r="M7" s="1302"/>
      <c r="N7" s="1304"/>
      <c r="O7" s="1283"/>
      <c r="P7" s="1285"/>
      <c r="Q7" s="501" t="s">
        <v>328</v>
      </c>
      <c r="R7" s="483" t="s">
        <v>803</v>
      </c>
      <c r="S7" s="484" t="s">
        <v>605</v>
      </c>
      <c r="T7" s="483" t="s">
        <v>804</v>
      </c>
      <c r="U7" s="124"/>
      <c r="V7" s="1319"/>
      <c r="W7" s="1281"/>
      <c r="X7" s="745" t="s">
        <v>850</v>
      </c>
      <c r="Y7" s="744" t="s">
        <v>830</v>
      </c>
      <c r="Z7" s="681" t="s">
        <v>33</v>
      </c>
      <c r="AA7" s="312" t="s">
        <v>1078</v>
      </c>
      <c r="AB7" s="681" t="s">
        <v>1079</v>
      </c>
      <c r="AC7" s="312" t="s">
        <v>1080</v>
      </c>
      <c r="AE7" s="745" t="s">
        <v>850</v>
      </c>
      <c r="AF7" s="744" t="s">
        <v>830</v>
      </c>
      <c r="AG7" s="681" t="s">
        <v>33</v>
      </c>
      <c r="AH7" s="312" t="s">
        <v>1078</v>
      </c>
      <c r="AI7" s="681" t="s">
        <v>1079</v>
      </c>
      <c r="AJ7" s="312" t="s">
        <v>1080</v>
      </c>
      <c r="AK7" s="124"/>
      <c r="AL7" s="745" t="s">
        <v>850</v>
      </c>
      <c r="AM7" s="744" t="s">
        <v>830</v>
      </c>
      <c r="AN7" s="681" t="s">
        <v>33</v>
      </c>
      <c r="AO7" s="312" t="s">
        <v>1078</v>
      </c>
      <c r="AP7" s="681" t="s">
        <v>1079</v>
      </c>
      <c r="AQ7" s="312" t="s">
        <v>1080</v>
      </c>
      <c r="AR7" s="124"/>
      <c r="AS7" s="745" t="s">
        <v>850</v>
      </c>
      <c r="AT7" s="744" t="s">
        <v>830</v>
      </c>
      <c r="AU7" s="681" t="s">
        <v>33</v>
      </c>
      <c r="AV7" s="312" t="s">
        <v>1078</v>
      </c>
      <c r="AW7" s="681" t="s">
        <v>1079</v>
      </c>
      <c r="AX7" s="312" t="s">
        <v>1080</v>
      </c>
      <c r="AY7" s="124"/>
      <c r="AZ7" s="745" t="s">
        <v>850</v>
      </c>
      <c r="BA7" s="744" t="s">
        <v>830</v>
      </c>
      <c r="BB7" s="681" t="s">
        <v>33</v>
      </c>
      <c r="BC7" s="312" t="s">
        <v>1078</v>
      </c>
      <c r="BD7" s="681" t="s">
        <v>1079</v>
      </c>
      <c r="BE7" s="312" t="s">
        <v>1080</v>
      </c>
      <c r="BF7" s="60"/>
      <c r="BG7" s="775" t="s">
        <v>1096</v>
      </c>
      <c r="BH7" s="312" t="s">
        <v>1082</v>
      </c>
      <c r="BI7" s="312" t="s">
        <v>1083</v>
      </c>
      <c r="BJ7" s="699" t="s">
        <v>1268</v>
      </c>
      <c r="BK7" s="312" t="s">
        <v>290</v>
      </c>
      <c r="BL7" s="519"/>
      <c r="BM7" s="780" t="s">
        <v>1096</v>
      </c>
      <c r="BN7" s="312" t="s">
        <v>1082</v>
      </c>
      <c r="BO7" s="781" t="s">
        <v>1098</v>
      </c>
      <c r="BP7" s="699" t="s">
        <v>1268</v>
      </c>
      <c r="BQ7" s="312" t="s">
        <v>290</v>
      </c>
      <c r="BR7" s="519"/>
      <c r="BS7" s="124"/>
      <c r="BT7" s="392" t="s">
        <v>231</v>
      </c>
      <c r="BU7" s="392" t="s">
        <v>232</v>
      </c>
      <c r="BW7" s="393" t="s">
        <v>549</v>
      </c>
      <c r="BX7" s="393">
        <v>55</v>
      </c>
      <c r="BY7" s="393">
        <v>200</v>
      </c>
      <c r="BZ7" s="393">
        <v>1</v>
      </c>
      <c r="CA7" s="393">
        <v>1.5</v>
      </c>
      <c r="CB7" s="641">
        <v>60</v>
      </c>
      <c r="CC7" s="393">
        <v>0.8</v>
      </c>
      <c r="CD7" s="352">
        <f t="shared" si="0"/>
        <v>44</v>
      </c>
      <c r="CE7" s="9"/>
      <c r="CF7" s="32"/>
    </row>
    <row r="8" spans="1:85" s="124" customFormat="1" ht="26.25" customHeight="1" x14ac:dyDescent="0.25">
      <c r="A8" s="379"/>
      <c r="B8" s="1214"/>
      <c r="C8" s="599" t="s">
        <v>31</v>
      </c>
      <c r="D8" s="406">
        <f t="shared" ref="D8:D30" si="1">VLOOKUP(C8,BW$3:CA$61,2,FALSE)</f>
        <v>0</v>
      </c>
      <c r="E8" s="426">
        <f t="shared" ref="E8:E31" si="2">VLOOKUP(C8,BW$3:CA$61,3,FALSE)</f>
        <v>0</v>
      </c>
      <c r="F8" s="1205"/>
      <c r="G8" s="412">
        <f t="shared" ref="G8:G31" si="3">IF(F8&lt;=D8,E8-(D8-F8)*BU8,E8+(F8-D8)*BT8)</f>
        <v>0</v>
      </c>
      <c r="H8" s="604" t="s">
        <v>510</v>
      </c>
      <c r="I8" s="426">
        <f t="shared" ref="I8:I31" si="4">VLOOKUP(H8,BW$65:BX$75,2,FALSE)</f>
        <v>0</v>
      </c>
      <c r="J8" s="429" t="s">
        <v>31</v>
      </c>
      <c r="K8" s="605">
        <f t="shared" ref="K8:K31" si="5">VLOOKUP(J8,BW$78:BX$87,2,FALSE)</f>
        <v>0</v>
      </c>
      <c r="L8" s="406">
        <f t="shared" ref="L8:L31" si="6">VLOOKUP(C8,BW$3:CB$61,6,FALSE)</f>
        <v>0</v>
      </c>
      <c r="M8" s="1208"/>
      <c r="N8" s="453" t="s">
        <v>160</v>
      </c>
      <c r="O8" s="426">
        <f t="shared" ref="O8:O31" si="7">VLOOKUP(N8,BW$90:BX$91,2,FALSE)</f>
        <v>0</v>
      </c>
      <c r="P8" s="1211"/>
      <c r="Q8" s="748">
        <f>IF(G8-M8-P8-O8-I8-K8&lt;0,0,G8-M8-P8-O8-I8-K8)</f>
        <v>0</v>
      </c>
      <c r="R8" s="749">
        <f t="shared" ref="R8:R31" si="8">IF(Q8&lt;0,0,Q8*B8)</f>
        <v>0</v>
      </c>
      <c r="S8" s="750">
        <f t="shared" ref="S8:S30" si="9">F8*VLOOKUP(C8,BW$3:CC$61,7,FALSE)</f>
        <v>0</v>
      </c>
      <c r="T8" s="434">
        <f>IF(S8&lt;0,0,S8*B8)</f>
        <v>0</v>
      </c>
      <c r="U8" s="80"/>
      <c r="V8" s="852">
        <f>A8</f>
        <v>0</v>
      </c>
      <c r="W8" s="852" t="str">
        <f>C8</f>
        <v>keine</v>
      </c>
      <c r="X8" s="886"/>
      <c r="Y8" s="887" t="s">
        <v>805</v>
      </c>
      <c r="Z8" s="906">
        <v>1</v>
      </c>
      <c r="AA8" s="687">
        <f>VLOOKUP(Y8,Düngemittel!$B$6:$E$64,2,FALSE)*(VLOOKUP(Y8,Düngemittel!$B$6:$E$64,3,FALSE))/100*Z8</f>
        <v>0</v>
      </c>
      <c r="AB8" s="687">
        <f>VLOOKUP(Y8,Düngemittel!$B$6:$E$64,2,FALSE)*Z8</f>
        <v>0</v>
      </c>
      <c r="AC8" s="687">
        <f>VLOOKUP(Y8,Düngemittel!$B$6:$E$64,4,FALSE)*Z8</f>
        <v>0</v>
      </c>
      <c r="AD8" s="80"/>
      <c r="AE8" s="886"/>
      <c r="AF8" s="887" t="s">
        <v>805</v>
      </c>
      <c r="AG8" s="906">
        <v>0</v>
      </c>
      <c r="AH8" s="687">
        <f>VLOOKUP(AF8,Düngemittel!$B$6:$E$64,2,FALSE)*(VLOOKUP(AF8,Düngemittel!$B$6:$E$64,3,FALSE))/100*AG8</f>
        <v>0</v>
      </c>
      <c r="AI8" s="687">
        <f>VLOOKUP(AF8,Düngemittel!$B$6:$E$64,2,FALSE)*AG8</f>
        <v>0</v>
      </c>
      <c r="AJ8" s="687">
        <f>VLOOKUP(AF8,Düngemittel!$B$6:$E$64,4,FALSE)*AG8</f>
        <v>0</v>
      </c>
      <c r="AK8" s="80"/>
      <c r="AL8" s="886"/>
      <c r="AM8" s="887" t="s">
        <v>805</v>
      </c>
      <c r="AN8" s="906">
        <v>0</v>
      </c>
      <c r="AO8" s="687">
        <f>VLOOKUP(AM8,Düngemittel!$B$6:$E$64,2,FALSE)*(VLOOKUP(AM8,Düngemittel!$B$6:$E$64,3,FALSE))/100*AN8</f>
        <v>0</v>
      </c>
      <c r="AP8" s="687">
        <f>VLOOKUP(AM8,Düngemittel!$B$6:$E$64,2,FALSE)*AN8</f>
        <v>0</v>
      </c>
      <c r="AQ8" s="687">
        <f>VLOOKUP(AM8,Düngemittel!$B$6:$E$64,4,FALSE)*AN8</f>
        <v>0</v>
      </c>
      <c r="AR8" s="80"/>
      <c r="AS8" s="886"/>
      <c r="AT8" s="887" t="s">
        <v>805</v>
      </c>
      <c r="AU8" s="906">
        <v>0</v>
      </c>
      <c r="AV8" s="687">
        <f>VLOOKUP(AT8,Düngemittel!$B$6:$E$64,2,FALSE)*(VLOOKUP(AT8,Düngemittel!$B$6:$E$64,3,FALSE))/100*AU8</f>
        <v>0</v>
      </c>
      <c r="AW8" s="687">
        <f>VLOOKUP(AT8,Düngemittel!$B$6:$E$64,2,FALSE)*AU8</f>
        <v>0</v>
      </c>
      <c r="AX8" s="687">
        <f>VLOOKUP(AT8,Düngemittel!$B$6:$E$64,4,FALSE)*AU8</f>
        <v>0</v>
      </c>
      <c r="AY8" s="80"/>
      <c r="AZ8" s="886"/>
      <c r="BA8" s="887" t="s">
        <v>805</v>
      </c>
      <c r="BB8" s="906">
        <v>0</v>
      </c>
      <c r="BC8" s="687">
        <f>VLOOKUP(BA8,Düngemittel!$B$6:$E$64,2,FALSE)*(VLOOKUP(BA8,Düngemittel!$B$6:$E$64,3,FALSE))/100*BB8</f>
        <v>0</v>
      </c>
      <c r="BD8" s="687">
        <f>VLOOKUP(BA8,Düngemittel!$B$6:$E$64,2,FALSE)*BB8</f>
        <v>0</v>
      </c>
      <c r="BE8" s="687">
        <f>VLOOKUP(BA8,Düngemittel!$B$6:$E$64,4,FALSE)*BB8</f>
        <v>0</v>
      </c>
      <c r="BF8" s="80"/>
      <c r="BG8" s="853">
        <f>IF(AA8&lt;AB8,0,AA8)+IF(AH8&lt;AI8,0,AH8)+IF(AO8&lt;AP8,0,AO8)+IF(AV8&lt;AW8,0,AV8)+IF(BC8&lt;BD8,0,BC8)</f>
        <v>0</v>
      </c>
      <c r="BH8" s="308">
        <f>(AA8+AH8+AO8+AV8+BC8)</f>
        <v>0</v>
      </c>
      <c r="BI8" s="853">
        <f>(AB8+AI8+AP8+AW8+BD8)</f>
        <v>0</v>
      </c>
      <c r="BJ8" s="777">
        <f>IF(AA8&lt;AB8,AB8,0)+IF(AH8&lt;AI8,AI8,0)+IF(AO8&lt;AP8,AP8,0)+IF(AV8&lt;AW8,AW8,0)+IF(BC8&lt;BD8,BD8,0)</f>
        <v>0</v>
      </c>
      <c r="BK8" s="308">
        <f>(AC8+AJ8+AQ8+AX8+BE8)</f>
        <v>0</v>
      </c>
      <c r="BL8" s="83"/>
      <c r="BM8" s="686">
        <f>BG8*$B8</f>
        <v>0</v>
      </c>
      <c r="BN8" s="686">
        <f t="shared" ref="BN8:BQ23" si="10">BH8*$B8</f>
        <v>0</v>
      </c>
      <c r="BO8" s="686">
        <f t="shared" si="10"/>
        <v>0</v>
      </c>
      <c r="BP8" s="686">
        <f t="shared" si="10"/>
        <v>0</v>
      </c>
      <c r="BQ8" s="686">
        <f t="shared" si="10"/>
        <v>0</v>
      </c>
      <c r="BR8" s="80"/>
      <c r="BS8" s="80"/>
      <c r="BT8" s="351">
        <f t="shared" ref="BT8:BT31" si="11">VLOOKUP(C8,BW$3:CB$61,4,FALSE)</f>
        <v>0</v>
      </c>
      <c r="BU8" s="351">
        <f t="shared" ref="BU8:BU31" si="12">VLOOKUP(C8,BW$3:CB$61,5,FALSE)</f>
        <v>0</v>
      </c>
      <c r="BV8" s="123"/>
      <c r="BW8" s="240" t="s">
        <v>760</v>
      </c>
      <c r="BX8" s="240">
        <v>40</v>
      </c>
      <c r="BY8" s="597">
        <v>115</v>
      </c>
      <c r="BZ8" s="240">
        <v>1</v>
      </c>
      <c r="CA8" s="240">
        <v>1.5</v>
      </c>
      <c r="CB8" s="641">
        <v>90</v>
      </c>
      <c r="CC8" s="393">
        <v>0.8</v>
      </c>
      <c r="CD8" s="352">
        <f t="shared" si="0"/>
        <v>32</v>
      </c>
      <c r="CE8" s="32"/>
      <c r="CF8" s="3"/>
      <c r="CG8" s="80"/>
    </row>
    <row r="9" spans="1:85" ht="26.25" customHeight="1" x14ac:dyDescent="0.25">
      <c r="A9" s="342"/>
      <c r="B9" s="1215"/>
      <c r="C9" s="600" t="s">
        <v>31</v>
      </c>
      <c r="D9" s="408">
        <f t="shared" si="1"/>
        <v>0</v>
      </c>
      <c r="E9" s="427">
        <f t="shared" si="2"/>
        <v>0</v>
      </c>
      <c r="F9" s="1206"/>
      <c r="G9" s="413">
        <f t="shared" si="3"/>
        <v>0</v>
      </c>
      <c r="H9" s="602" t="s">
        <v>510</v>
      </c>
      <c r="I9" s="427">
        <f t="shared" si="4"/>
        <v>0</v>
      </c>
      <c r="J9" s="430" t="s">
        <v>31</v>
      </c>
      <c r="K9" s="606">
        <f t="shared" si="5"/>
        <v>0</v>
      </c>
      <c r="L9" s="408">
        <f t="shared" si="6"/>
        <v>0</v>
      </c>
      <c r="M9" s="1209"/>
      <c r="N9" s="450" t="s">
        <v>160</v>
      </c>
      <c r="O9" s="427">
        <f t="shared" si="7"/>
        <v>0</v>
      </c>
      <c r="P9" s="1212"/>
      <c r="Q9" s="747">
        <f t="shared" ref="Q9:Q31" si="13">IF(G9-M9-P9-O9-I9-K9&lt;0,0,G9-M9-P9-O9-I9-K9)</f>
        <v>0</v>
      </c>
      <c r="R9" s="608">
        <f t="shared" si="8"/>
        <v>0</v>
      </c>
      <c r="S9" s="479">
        <f t="shared" si="9"/>
        <v>0</v>
      </c>
      <c r="T9" s="435">
        <f t="shared" ref="T9:T31" si="14">IF(S9&lt;0,0,S9*B9)</f>
        <v>0</v>
      </c>
      <c r="V9" s="852">
        <f t="shared" ref="V9:V31" si="15">A9</f>
        <v>0</v>
      </c>
      <c r="W9" s="852" t="str">
        <f t="shared" ref="W9:W31" si="16">C9</f>
        <v>keine</v>
      </c>
      <c r="X9" s="886"/>
      <c r="Y9" s="887" t="s">
        <v>805</v>
      </c>
      <c r="Z9" s="906">
        <v>0</v>
      </c>
      <c r="AA9" s="687">
        <f>VLOOKUP(Y9,Düngemittel!$B$6:$E$64,2,FALSE)*(VLOOKUP(Y9,Düngemittel!$B$6:$E$64,3,FALSE))/100*Z9</f>
        <v>0</v>
      </c>
      <c r="AB9" s="687">
        <f>VLOOKUP(Y9,Düngemittel!$B$6:$E$64,2,FALSE)*Z9</f>
        <v>0</v>
      </c>
      <c r="AC9" s="687">
        <f>VLOOKUP(Y9,Düngemittel!$B$6:$E$64,4,FALSE)*Z9</f>
        <v>0</v>
      </c>
      <c r="AE9" s="886"/>
      <c r="AF9" s="887" t="s">
        <v>805</v>
      </c>
      <c r="AG9" s="906">
        <v>0</v>
      </c>
      <c r="AH9" s="687">
        <f>VLOOKUP(AF9,Düngemittel!$B$6:$E$64,2,FALSE)*(VLOOKUP(AF9,Düngemittel!$B$6:$E$64,3,FALSE))/100*AG9</f>
        <v>0</v>
      </c>
      <c r="AI9" s="687">
        <f>VLOOKUP(AF9,Düngemittel!$B$6:$E$64,2,FALSE)*AG9</f>
        <v>0</v>
      </c>
      <c r="AJ9" s="687">
        <f>VLOOKUP(AF9,Düngemittel!$B$6:$E$64,4,FALSE)*AG9</f>
        <v>0</v>
      </c>
      <c r="AL9" s="886"/>
      <c r="AM9" s="887" t="s">
        <v>805</v>
      </c>
      <c r="AN9" s="906">
        <v>0</v>
      </c>
      <c r="AO9" s="687">
        <f>VLOOKUP(AM9,Düngemittel!$B$6:$E$64,2,FALSE)*(VLOOKUP(AM9,Düngemittel!$B$6:$E$64,3,FALSE))/100*AN9</f>
        <v>0</v>
      </c>
      <c r="AP9" s="687">
        <f>VLOOKUP(AM9,Düngemittel!$B$6:$E$64,2,FALSE)*AN9</f>
        <v>0</v>
      </c>
      <c r="AQ9" s="687">
        <f>VLOOKUP(AM9,Düngemittel!$B$6:$E$64,4,FALSE)*AN9</f>
        <v>0</v>
      </c>
      <c r="AS9" s="886"/>
      <c r="AT9" s="887" t="s">
        <v>805</v>
      </c>
      <c r="AU9" s="906">
        <v>0</v>
      </c>
      <c r="AV9" s="687">
        <f>VLOOKUP(AT9,Düngemittel!$B$6:$E$64,2,FALSE)*(VLOOKUP(AT9,Düngemittel!$B$6:$E$64,3,FALSE))/100*AU9</f>
        <v>0</v>
      </c>
      <c r="AW9" s="687">
        <f>VLOOKUP(AT9,Düngemittel!$B$6:$E$64,2,FALSE)*AU9</f>
        <v>0</v>
      </c>
      <c r="AX9" s="687">
        <f>VLOOKUP(AT9,Düngemittel!$B$6:$E$64,4,FALSE)*AU9</f>
        <v>0</v>
      </c>
      <c r="AZ9" s="886"/>
      <c r="BA9" s="887" t="s">
        <v>805</v>
      </c>
      <c r="BB9" s="906">
        <v>0</v>
      </c>
      <c r="BC9" s="687">
        <f>VLOOKUP(BA9,Düngemittel!$B$6:$E$64,2,FALSE)*(VLOOKUP(BA9,Düngemittel!$B$6:$E$64,3,FALSE))/100*BB9</f>
        <v>0</v>
      </c>
      <c r="BD9" s="687">
        <f>VLOOKUP(BA9,Düngemittel!$B$6:$E$64,2,FALSE)*BB9</f>
        <v>0</v>
      </c>
      <c r="BE9" s="687">
        <f>VLOOKUP(BA9,Düngemittel!$B$6:$E$64,4,FALSE)*BB9</f>
        <v>0</v>
      </c>
      <c r="BG9" s="853">
        <f t="shared" ref="BG9:BG31" si="17">IF(AA9&lt;AB9,0,AA9)+IF(AH9&lt;AI9,0,AH9)+IF(AO9&lt;AP9,0,AO9)+IF(AV9&lt;AW9,0,AV9)+IF(BC9&lt;BD9,0,BC9)</f>
        <v>0</v>
      </c>
      <c r="BH9" s="308">
        <f t="shared" ref="BH9:BI31" si="18">(AA9+AH9+AO9+AV9+BC9)</f>
        <v>0</v>
      </c>
      <c r="BI9" s="853">
        <f t="shared" si="18"/>
        <v>0</v>
      </c>
      <c r="BJ9" s="777">
        <f t="shared" ref="BJ9:BJ31" si="19">IF(AA9&lt;AB9,AB9,0)+IF(AH9&lt;AI9,AI9,0)+IF(AO9&lt;AP9,AP9,0)+IF(AV9&lt;AW9,AW9,0)+IF(BC9&lt;BD9,BD9,0)</f>
        <v>0</v>
      </c>
      <c r="BK9" s="308">
        <f t="shared" ref="BK9:BK31" si="20">(AC9+AJ9+AQ9+AX9+BE9)</f>
        <v>0</v>
      </c>
      <c r="BL9" s="83"/>
      <c r="BM9" s="686">
        <f t="shared" ref="BM9:BQ31" si="21">BG9*$B9</f>
        <v>0</v>
      </c>
      <c r="BN9" s="686">
        <f t="shared" si="10"/>
        <v>0</v>
      </c>
      <c r="BO9" s="686">
        <f t="shared" si="10"/>
        <v>0</v>
      </c>
      <c r="BP9" s="686">
        <f t="shared" si="10"/>
        <v>0</v>
      </c>
      <c r="BQ9" s="686">
        <f t="shared" si="10"/>
        <v>0</v>
      </c>
      <c r="BT9" s="351">
        <f t="shared" si="11"/>
        <v>0</v>
      </c>
      <c r="BU9" s="351">
        <f t="shared" si="12"/>
        <v>0</v>
      </c>
      <c r="BW9" s="580" t="s">
        <v>764</v>
      </c>
      <c r="BX9" s="580">
        <v>150</v>
      </c>
      <c r="BY9" s="580">
        <v>160</v>
      </c>
      <c r="BZ9" s="580">
        <v>0.2</v>
      </c>
      <c r="CA9" s="580">
        <v>0.3</v>
      </c>
      <c r="CB9" s="641">
        <v>60</v>
      </c>
      <c r="CC9" s="393">
        <v>0.32</v>
      </c>
      <c r="CD9" s="352">
        <f t="shared" si="0"/>
        <v>48</v>
      </c>
      <c r="CE9" s="9"/>
      <c r="CF9" s="3"/>
    </row>
    <row r="10" spans="1:85" ht="26.25" customHeight="1" x14ac:dyDescent="0.25">
      <c r="A10" s="342"/>
      <c r="B10" s="1215"/>
      <c r="C10" s="600" t="s">
        <v>31</v>
      </c>
      <c r="D10" s="408">
        <f t="shared" si="1"/>
        <v>0</v>
      </c>
      <c r="E10" s="427">
        <f t="shared" si="2"/>
        <v>0</v>
      </c>
      <c r="F10" s="1206"/>
      <c r="G10" s="413">
        <f t="shared" si="3"/>
        <v>0</v>
      </c>
      <c r="H10" s="602" t="s">
        <v>510</v>
      </c>
      <c r="I10" s="427">
        <f t="shared" si="4"/>
        <v>0</v>
      </c>
      <c r="J10" s="430" t="s">
        <v>31</v>
      </c>
      <c r="K10" s="606">
        <f t="shared" si="5"/>
        <v>0</v>
      </c>
      <c r="L10" s="408">
        <f t="shared" si="6"/>
        <v>0</v>
      </c>
      <c r="M10" s="1209"/>
      <c r="N10" s="450" t="s">
        <v>160</v>
      </c>
      <c r="O10" s="427">
        <f t="shared" si="7"/>
        <v>0</v>
      </c>
      <c r="P10" s="1212"/>
      <c r="Q10" s="747">
        <f t="shared" si="13"/>
        <v>0</v>
      </c>
      <c r="R10" s="608">
        <f t="shared" si="8"/>
        <v>0</v>
      </c>
      <c r="S10" s="479">
        <f t="shared" si="9"/>
        <v>0</v>
      </c>
      <c r="T10" s="435">
        <f t="shared" si="14"/>
        <v>0</v>
      </c>
      <c r="V10" s="852">
        <f t="shared" si="15"/>
        <v>0</v>
      </c>
      <c r="W10" s="852" t="str">
        <f t="shared" si="16"/>
        <v>keine</v>
      </c>
      <c r="X10" s="886"/>
      <c r="Y10" s="887" t="s">
        <v>805</v>
      </c>
      <c r="Z10" s="906">
        <v>0</v>
      </c>
      <c r="AA10" s="687">
        <f>VLOOKUP(Y10,Düngemittel!$B$6:$E$64,2,FALSE)*(VLOOKUP(Y10,Düngemittel!$B$6:$E$64,3,FALSE))/100*Z10</f>
        <v>0</v>
      </c>
      <c r="AB10" s="687">
        <f>VLOOKUP(Y10,Düngemittel!$B$6:$E$64,2,FALSE)*Z10</f>
        <v>0</v>
      </c>
      <c r="AC10" s="687">
        <f>VLOOKUP(Y10,Düngemittel!$B$6:$E$64,4,FALSE)*Z10</f>
        <v>0</v>
      </c>
      <c r="AE10" s="886"/>
      <c r="AF10" s="887" t="s">
        <v>805</v>
      </c>
      <c r="AG10" s="906">
        <v>0</v>
      </c>
      <c r="AH10" s="687">
        <f>VLOOKUP(AF10,Düngemittel!$B$6:$E$64,2,FALSE)*(VLOOKUP(AF10,Düngemittel!$B$6:$E$64,3,FALSE))/100*AG10</f>
        <v>0</v>
      </c>
      <c r="AI10" s="687">
        <f>VLOOKUP(AF10,Düngemittel!$B$6:$E$64,2,FALSE)*AG10</f>
        <v>0</v>
      </c>
      <c r="AJ10" s="687">
        <f>VLOOKUP(AF10,Düngemittel!$B$6:$E$64,4,FALSE)*AG10</f>
        <v>0</v>
      </c>
      <c r="AL10" s="886"/>
      <c r="AM10" s="887" t="s">
        <v>805</v>
      </c>
      <c r="AN10" s="906">
        <v>0</v>
      </c>
      <c r="AO10" s="687">
        <f>VLOOKUP(AM10,Düngemittel!$B$6:$E$64,2,FALSE)*(VLOOKUP(AM10,Düngemittel!$B$6:$E$64,3,FALSE))/100*AN10</f>
        <v>0</v>
      </c>
      <c r="AP10" s="687">
        <f>VLOOKUP(AM10,Düngemittel!$B$6:$E$64,2,FALSE)*AN10</f>
        <v>0</v>
      </c>
      <c r="AQ10" s="687">
        <f>VLOOKUP(AM10,Düngemittel!$B$6:$E$64,4,FALSE)*AN10</f>
        <v>0</v>
      </c>
      <c r="AS10" s="886"/>
      <c r="AT10" s="887" t="s">
        <v>805</v>
      </c>
      <c r="AU10" s="906">
        <v>0</v>
      </c>
      <c r="AV10" s="687">
        <f>VLOOKUP(AT10,Düngemittel!$B$6:$E$64,2,FALSE)*(VLOOKUP(AT10,Düngemittel!$B$6:$E$64,3,FALSE))/100*AU10</f>
        <v>0</v>
      </c>
      <c r="AW10" s="687">
        <f>VLOOKUP(AT10,Düngemittel!$B$6:$E$64,2,FALSE)*AU10</f>
        <v>0</v>
      </c>
      <c r="AX10" s="687">
        <f>VLOOKUP(AT10,Düngemittel!$B$6:$E$64,4,FALSE)*AU10</f>
        <v>0</v>
      </c>
      <c r="AZ10" s="886"/>
      <c r="BA10" s="887" t="s">
        <v>805</v>
      </c>
      <c r="BB10" s="906">
        <v>0</v>
      </c>
      <c r="BC10" s="687">
        <f>VLOOKUP(BA10,Düngemittel!$B$6:$E$64,2,FALSE)*(VLOOKUP(BA10,Düngemittel!$B$6:$E$64,3,FALSE))/100*BB10</f>
        <v>0</v>
      </c>
      <c r="BD10" s="687">
        <f>VLOOKUP(BA10,Düngemittel!$B$6:$E$64,2,FALSE)*BB10</f>
        <v>0</v>
      </c>
      <c r="BE10" s="687">
        <f>VLOOKUP(BA10,Düngemittel!$B$6:$E$64,4,FALSE)*BB10</f>
        <v>0</v>
      </c>
      <c r="BG10" s="853">
        <f t="shared" si="17"/>
        <v>0</v>
      </c>
      <c r="BH10" s="308">
        <f t="shared" si="18"/>
        <v>0</v>
      </c>
      <c r="BI10" s="853">
        <f t="shared" si="18"/>
        <v>0</v>
      </c>
      <c r="BJ10" s="777">
        <f t="shared" si="19"/>
        <v>0</v>
      </c>
      <c r="BK10" s="308">
        <f t="shared" si="20"/>
        <v>0</v>
      </c>
      <c r="BL10" s="83"/>
      <c r="BM10" s="686">
        <f t="shared" si="21"/>
        <v>0</v>
      </c>
      <c r="BN10" s="686">
        <f t="shared" si="10"/>
        <v>0</v>
      </c>
      <c r="BO10" s="686">
        <f t="shared" si="10"/>
        <v>0</v>
      </c>
      <c r="BP10" s="686">
        <f t="shared" si="10"/>
        <v>0</v>
      </c>
      <c r="BQ10" s="686">
        <f t="shared" si="10"/>
        <v>0</v>
      </c>
      <c r="BT10" s="351">
        <f t="shared" si="11"/>
        <v>0</v>
      </c>
      <c r="BU10" s="351">
        <f t="shared" si="12"/>
        <v>0</v>
      </c>
      <c r="BW10" s="580" t="s">
        <v>690</v>
      </c>
      <c r="BX10" s="580">
        <v>80</v>
      </c>
      <c r="BY10" s="580">
        <v>100</v>
      </c>
      <c r="BZ10" s="580">
        <v>1</v>
      </c>
      <c r="CA10" s="580">
        <v>1.5</v>
      </c>
      <c r="CB10" s="641">
        <v>60</v>
      </c>
      <c r="CC10" s="393">
        <v>0.64</v>
      </c>
      <c r="CD10" s="352">
        <f t="shared" si="0"/>
        <v>51.2</v>
      </c>
      <c r="CE10" s="9"/>
      <c r="CF10" s="3"/>
    </row>
    <row r="11" spans="1:85" ht="26.25" customHeight="1" x14ac:dyDescent="0.25">
      <c r="A11" s="342"/>
      <c r="B11" s="1215"/>
      <c r="C11" s="600" t="s">
        <v>31</v>
      </c>
      <c r="D11" s="408">
        <f t="shared" si="1"/>
        <v>0</v>
      </c>
      <c r="E11" s="427">
        <f t="shared" si="2"/>
        <v>0</v>
      </c>
      <c r="F11" s="1206"/>
      <c r="G11" s="413">
        <f t="shared" si="3"/>
        <v>0</v>
      </c>
      <c r="H11" s="602" t="s">
        <v>510</v>
      </c>
      <c r="I11" s="427">
        <f t="shared" si="4"/>
        <v>0</v>
      </c>
      <c r="J11" s="430" t="s">
        <v>31</v>
      </c>
      <c r="K11" s="606">
        <f t="shared" si="5"/>
        <v>0</v>
      </c>
      <c r="L11" s="408">
        <f t="shared" si="6"/>
        <v>0</v>
      </c>
      <c r="M11" s="1209"/>
      <c r="N11" s="450" t="s">
        <v>160</v>
      </c>
      <c r="O11" s="427">
        <f t="shared" si="7"/>
        <v>0</v>
      </c>
      <c r="P11" s="1212"/>
      <c r="Q11" s="747">
        <f t="shared" si="13"/>
        <v>0</v>
      </c>
      <c r="R11" s="608">
        <f t="shared" si="8"/>
        <v>0</v>
      </c>
      <c r="S11" s="479">
        <f t="shared" si="9"/>
        <v>0</v>
      </c>
      <c r="T11" s="435">
        <f t="shared" si="14"/>
        <v>0</v>
      </c>
      <c r="V11" s="852">
        <f t="shared" si="15"/>
        <v>0</v>
      </c>
      <c r="W11" s="852" t="str">
        <f t="shared" si="16"/>
        <v>keine</v>
      </c>
      <c r="X11" s="886"/>
      <c r="Y11" s="887" t="s">
        <v>805</v>
      </c>
      <c r="Z11" s="906">
        <v>0</v>
      </c>
      <c r="AA11" s="687">
        <f>VLOOKUP(Y11,Düngemittel!$B$6:$E$64,2,FALSE)*(VLOOKUP(Y11,Düngemittel!$B$6:$E$64,3,FALSE))/100*Z11</f>
        <v>0</v>
      </c>
      <c r="AB11" s="687">
        <f>VLOOKUP(Y11,Düngemittel!$B$6:$E$64,2,FALSE)*Z11</f>
        <v>0</v>
      </c>
      <c r="AC11" s="687">
        <f>VLOOKUP(Y11,Düngemittel!$B$6:$E$64,4,FALSE)*Z11</f>
        <v>0</v>
      </c>
      <c r="AE11" s="886"/>
      <c r="AF11" s="887" t="s">
        <v>805</v>
      </c>
      <c r="AG11" s="906">
        <v>0</v>
      </c>
      <c r="AH11" s="687">
        <f>VLOOKUP(AF11,Düngemittel!$B$6:$E$64,2,FALSE)*(VLOOKUP(AF11,Düngemittel!$B$6:$E$64,3,FALSE))/100*AG11</f>
        <v>0</v>
      </c>
      <c r="AI11" s="687">
        <f>VLOOKUP(AF11,Düngemittel!$B$6:$E$64,2,FALSE)*AG11</f>
        <v>0</v>
      </c>
      <c r="AJ11" s="687">
        <f>VLOOKUP(AF11,Düngemittel!$B$6:$E$64,4,FALSE)*AG11</f>
        <v>0</v>
      </c>
      <c r="AL11" s="886"/>
      <c r="AM11" s="887" t="s">
        <v>805</v>
      </c>
      <c r="AN11" s="906">
        <v>0</v>
      </c>
      <c r="AO11" s="687">
        <f>VLOOKUP(AM11,Düngemittel!$B$6:$E$64,2,FALSE)*(VLOOKUP(AM11,Düngemittel!$B$6:$E$64,3,FALSE))/100*AN11</f>
        <v>0</v>
      </c>
      <c r="AP11" s="687">
        <f>VLOOKUP(AM11,Düngemittel!$B$6:$E$64,2,FALSE)*AN11</f>
        <v>0</v>
      </c>
      <c r="AQ11" s="687">
        <f>VLOOKUP(AM11,Düngemittel!$B$6:$E$64,4,FALSE)*AN11</f>
        <v>0</v>
      </c>
      <c r="AS11" s="886"/>
      <c r="AT11" s="887" t="s">
        <v>805</v>
      </c>
      <c r="AU11" s="906">
        <v>0</v>
      </c>
      <c r="AV11" s="687">
        <f>VLOOKUP(AT11,Düngemittel!$B$6:$E$64,2,FALSE)*(VLOOKUP(AT11,Düngemittel!$B$6:$E$64,3,FALSE))/100*AU11</f>
        <v>0</v>
      </c>
      <c r="AW11" s="687">
        <f>VLOOKUP(AT11,Düngemittel!$B$6:$E$64,2,FALSE)*AU11</f>
        <v>0</v>
      </c>
      <c r="AX11" s="687">
        <f>VLOOKUP(AT11,Düngemittel!$B$6:$E$64,4,FALSE)*AU11</f>
        <v>0</v>
      </c>
      <c r="AZ11" s="886"/>
      <c r="BA11" s="887" t="s">
        <v>805</v>
      </c>
      <c r="BB11" s="906">
        <v>0</v>
      </c>
      <c r="BC11" s="687">
        <f>VLOOKUP(BA11,Düngemittel!$B$6:$E$64,2,FALSE)*(VLOOKUP(BA11,Düngemittel!$B$6:$E$64,3,FALSE))/100*BB11</f>
        <v>0</v>
      </c>
      <c r="BD11" s="687">
        <f>VLOOKUP(BA11,Düngemittel!$B$6:$E$64,2,FALSE)*BB11</f>
        <v>0</v>
      </c>
      <c r="BE11" s="687">
        <f>VLOOKUP(BA11,Düngemittel!$B$6:$E$64,4,FALSE)*BB11</f>
        <v>0</v>
      </c>
      <c r="BG11" s="853">
        <f t="shared" si="17"/>
        <v>0</v>
      </c>
      <c r="BH11" s="308">
        <f t="shared" si="18"/>
        <v>0</v>
      </c>
      <c r="BI11" s="853">
        <f t="shared" si="18"/>
        <v>0</v>
      </c>
      <c r="BJ11" s="777">
        <f t="shared" si="19"/>
        <v>0</v>
      </c>
      <c r="BK11" s="308">
        <f t="shared" si="20"/>
        <v>0</v>
      </c>
      <c r="BL11" s="83"/>
      <c r="BM11" s="686">
        <f t="shared" si="21"/>
        <v>0</v>
      </c>
      <c r="BN11" s="686">
        <f t="shared" si="10"/>
        <v>0</v>
      </c>
      <c r="BO11" s="686">
        <f t="shared" si="10"/>
        <v>0</v>
      </c>
      <c r="BP11" s="686">
        <f t="shared" si="10"/>
        <v>0</v>
      </c>
      <c r="BQ11" s="686">
        <f t="shared" si="10"/>
        <v>0</v>
      </c>
      <c r="BT11" s="351">
        <f t="shared" si="11"/>
        <v>0</v>
      </c>
      <c r="BU11" s="351">
        <f t="shared" si="12"/>
        <v>0</v>
      </c>
      <c r="BW11" s="124" t="s">
        <v>225</v>
      </c>
      <c r="BX11" s="124">
        <v>400</v>
      </c>
      <c r="BY11" s="124">
        <v>220</v>
      </c>
      <c r="BZ11" s="593">
        <v>0.2</v>
      </c>
      <c r="CA11" s="593">
        <v>0.2</v>
      </c>
      <c r="CB11" s="641">
        <v>60</v>
      </c>
      <c r="CC11" s="393">
        <v>0.14000000000000001</v>
      </c>
      <c r="CD11" s="352">
        <f t="shared" si="0"/>
        <v>56.000000000000007</v>
      </c>
      <c r="CE11" s="9"/>
      <c r="CF11" s="3"/>
    </row>
    <row r="12" spans="1:85" ht="26.25" customHeight="1" x14ac:dyDescent="0.25">
      <c r="A12" s="342"/>
      <c r="B12" s="1215"/>
      <c r="C12" s="600" t="s">
        <v>31</v>
      </c>
      <c r="D12" s="408">
        <f t="shared" si="1"/>
        <v>0</v>
      </c>
      <c r="E12" s="427">
        <f t="shared" si="2"/>
        <v>0</v>
      </c>
      <c r="F12" s="1206"/>
      <c r="G12" s="413">
        <f t="shared" si="3"/>
        <v>0</v>
      </c>
      <c r="H12" s="602" t="s">
        <v>510</v>
      </c>
      <c r="I12" s="427">
        <f t="shared" si="4"/>
        <v>0</v>
      </c>
      <c r="J12" s="430" t="s">
        <v>31</v>
      </c>
      <c r="K12" s="606">
        <f t="shared" si="5"/>
        <v>0</v>
      </c>
      <c r="L12" s="408">
        <f t="shared" si="6"/>
        <v>0</v>
      </c>
      <c r="M12" s="1209"/>
      <c r="N12" s="450" t="s">
        <v>160</v>
      </c>
      <c r="O12" s="427">
        <f t="shared" si="7"/>
        <v>0</v>
      </c>
      <c r="P12" s="1212"/>
      <c r="Q12" s="747">
        <f t="shared" si="13"/>
        <v>0</v>
      </c>
      <c r="R12" s="608">
        <f t="shared" si="8"/>
        <v>0</v>
      </c>
      <c r="S12" s="479">
        <f t="shared" si="9"/>
        <v>0</v>
      </c>
      <c r="T12" s="435">
        <f t="shared" si="14"/>
        <v>0</v>
      </c>
      <c r="V12" s="852">
        <f t="shared" si="15"/>
        <v>0</v>
      </c>
      <c r="W12" s="852" t="str">
        <f t="shared" si="16"/>
        <v>keine</v>
      </c>
      <c r="X12" s="886"/>
      <c r="Y12" s="887" t="s">
        <v>805</v>
      </c>
      <c r="Z12" s="906">
        <v>0</v>
      </c>
      <c r="AA12" s="687">
        <f>VLOOKUP(Y12,Düngemittel!$B$6:$E$64,2,FALSE)*(VLOOKUP(Y12,Düngemittel!$B$6:$E$64,3,FALSE))/100*Z12</f>
        <v>0</v>
      </c>
      <c r="AB12" s="687">
        <f>VLOOKUP(Y12,Düngemittel!$B$6:$E$64,2,FALSE)*Z12</f>
        <v>0</v>
      </c>
      <c r="AC12" s="687">
        <f>VLOOKUP(Y12,Düngemittel!$B$6:$E$64,4,FALSE)*Z12</f>
        <v>0</v>
      </c>
      <c r="AE12" s="886"/>
      <c r="AF12" s="887" t="s">
        <v>805</v>
      </c>
      <c r="AG12" s="906">
        <v>0</v>
      </c>
      <c r="AH12" s="687">
        <f>VLOOKUP(AF12,Düngemittel!$B$6:$E$64,2,FALSE)*(VLOOKUP(AF12,Düngemittel!$B$6:$E$64,3,FALSE))/100*AG12</f>
        <v>0</v>
      </c>
      <c r="AI12" s="687">
        <f>VLOOKUP(AF12,Düngemittel!$B$6:$E$64,2,FALSE)*AG12</f>
        <v>0</v>
      </c>
      <c r="AJ12" s="687">
        <f>VLOOKUP(AF12,Düngemittel!$B$6:$E$64,4,FALSE)*AG12</f>
        <v>0</v>
      </c>
      <c r="AL12" s="886"/>
      <c r="AM12" s="887" t="s">
        <v>805</v>
      </c>
      <c r="AN12" s="906">
        <v>0</v>
      </c>
      <c r="AO12" s="687">
        <f>VLOOKUP(AM12,Düngemittel!$B$6:$E$64,2,FALSE)*(VLOOKUP(AM12,Düngemittel!$B$6:$E$64,3,FALSE))/100*AN12</f>
        <v>0</v>
      </c>
      <c r="AP12" s="687">
        <f>VLOOKUP(AM12,Düngemittel!$B$6:$E$64,2,FALSE)*AN12</f>
        <v>0</v>
      </c>
      <c r="AQ12" s="687">
        <f>VLOOKUP(AM12,Düngemittel!$B$6:$E$64,4,FALSE)*AN12</f>
        <v>0</v>
      </c>
      <c r="AS12" s="886"/>
      <c r="AT12" s="887" t="s">
        <v>805</v>
      </c>
      <c r="AU12" s="906">
        <v>0</v>
      </c>
      <c r="AV12" s="687">
        <f>VLOOKUP(AT12,Düngemittel!$B$6:$E$64,2,FALSE)*(VLOOKUP(AT12,Düngemittel!$B$6:$E$64,3,FALSE))/100*AU12</f>
        <v>0</v>
      </c>
      <c r="AW12" s="687">
        <f>VLOOKUP(AT12,Düngemittel!$B$6:$E$64,2,FALSE)*AU12</f>
        <v>0</v>
      </c>
      <c r="AX12" s="687">
        <f>VLOOKUP(AT12,Düngemittel!$B$6:$E$64,4,FALSE)*AU12</f>
        <v>0</v>
      </c>
      <c r="AZ12" s="886"/>
      <c r="BA12" s="887" t="s">
        <v>805</v>
      </c>
      <c r="BB12" s="906">
        <v>0</v>
      </c>
      <c r="BC12" s="687">
        <f>VLOOKUP(BA12,Düngemittel!$B$6:$E$64,2,FALSE)*(VLOOKUP(BA12,Düngemittel!$B$6:$E$64,3,FALSE))/100*BB12</f>
        <v>0</v>
      </c>
      <c r="BD12" s="687">
        <f>VLOOKUP(BA12,Düngemittel!$B$6:$E$64,2,FALSE)*BB12</f>
        <v>0</v>
      </c>
      <c r="BE12" s="687">
        <f>VLOOKUP(BA12,Düngemittel!$B$6:$E$64,4,FALSE)*BB12</f>
        <v>0</v>
      </c>
      <c r="BG12" s="853">
        <f t="shared" si="17"/>
        <v>0</v>
      </c>
      <c r="BH12" s="308">
        <f t="shared" si="18"/>
        <v>0</v>
      </c>
      <c r="BI12" s="853">
        <f t="shared" si="18"/>
        <v>0</v>
      </c>
      <c r="BJ12" s="777">
        <f t="shared" si="19"/>
        <v>0</v>
      </c>
      <c r="BK12" s="308">
        <f t="shared" si="20"/>
        <v>0</v>
      </c>
      <c r="BL12" s="83"/>
      <c r="BM12" s="686">
        <f t="shared" si="21"/>
        <v>0</v>
      </c>
      <c r="BN12" s="686">
        <f t="shared" si="10"/>
        <v>0</v>
      </c>
      <c r="BO12" s="686">
        <f t="shared" si="10"/>
        <v>0</v>
      </c>
      <c r="BP12" s="686">
        <f t="shared" si="10"/>
        <v>0</v>
      </c>
      <c r="BQ12" s="686">
        <f t="shared" si="10"/>
        <v>0</v>
      </c>
      <c r="BT12" s="351">
        <f t="shared" si="11"/>
        <v>0</v>
      </c>
      <c r="BU12" s="351">
        <f t="shared" si="12"/>
        <v>0</v>
      </c>
      <c r="BW12" s="580" t="s">
        <v>691</v>
      </c>
      <c r="BX12" s="580">
        <v>350</v>
      </c>
      <c r="BY12" s="580">
        <v>190</v>
      </c>
      <c r="BZ12" s="580">
        <v>0.2</v>
      </c>
      <c r="CA12" s="580">
        <v>0.3</v>
      </c>
      <c r="CB12" s="641">
        <v>90</v>
      </c>
      <c r="CC12" s="393">
        <v>0.28000000000000003</v>
      </c>
      <c r="CD12" s="352">
        <f t="shared" si="0"/>
        <v>98.000000000000014</v>
      </c>
      <c r="CE12" s="9"/>
      <c r="CF12" s="3"/>
    </row>
    <row r="13" spans="1:85" ht="26.25" customHeight="1" x14ac:dyDescent="0.25">
      <c r="A13" s="342"/>
      <c r="B13" s="1215"/>
      <c r="C13" s="600" t="s">
        <v>31</v>
      </c>
      <c r="D13" s="408">
        <f t="shared" si="1"/>
        <v>0</v>
      </c>
      <c r="E13" s="427">
        <f t="shared" si="2"/>
        <v>0</v>
      </c>
      <c r="F13" s="1206"/>
      <c r="G13" s="413">
        <f t="shared" si="3"/>
        <v>0</v>
      </c>
      <c r="H13" s="602" t="s">
        <v>510</v>
      </c>
      <c r="I13" s="427">
        <f t="shared" si="4"/>
        <v>0</v>
      </c>
      <c r="J13" s="430" t="s">
        <v>31</v>
      </c>
      <c r="K13" s="606">
        <f t="shared" si="5"/>
        <v>0</v>
      </c>
      <c r="L13" s="408">
        <f t="shared" si="6"/>
        <v>0</v>
      </c>
      <c r="M13" s="1209"/>
      <c r="N13" s="450" t="s">
        <v>160</v>
      </c>
      <c r="O13" s="427">
        <f t="shared" si="7"/>
        <v>0</v>
      </c>
      <c r="P13" s="1212"/>
      <c r="Q13" s="747">
        <f t="shared" si="13"/>
        <v>0</v>
      </c>
      <c r="R13" s="608">
        <f t="shared" si="8"/>
        <v>0</v>
      </c>
      <c r="S13" s="479">
        <f t="shared" si="9"/>
        <v>0</v>
      </c>
      <c r="T13" s="435">
        <f t="shared" si="14"/>
        <v>0</v>
      </c>
      <c r="V13" s="852">
        <f t="shared" si="15"/>
        <v>0</v>
      </c>
      <c r="W13" s="852" t="str">
        <f t="shared" si="16"/>
        <v>keine</v>
      </c>
      <c r="X13" s="886"/>
      <c r="Y13" s="887" t="s">
        <v>805</v>
      </c>
      <c r="Z13" s="906">
        <v>0</v>
      </c>
      <c r="AA13" s="687">
        <f>VLOOKUP(Y13,Düngemittel!$B$6:$E$64,2,FALSE)*(VLOOKUP(Y13,Düngemittel!$B$6:$E$64,3,FALSE))/100*Z13</f>
        <v>0</v>
      </c>
      <c r="AB13" s="687">
        <f>VLOOKUP(Y13,Düngemittel!$B$6:$E$64,2,FALSE)*Z13</f>
        <v>0</v>
      </c>
      <c r="AC13" s="687">
        <f>VLOOKUP(Y13,Düngemittel!$B$6:$E$64,4,FALSE)*Z13</f>
        <v>0</v>
      </c>
      <c r="AE13" s="886"/>
      <c r="AF13" s="887" t="s">
        <v>805</v>
      </c>
      <c r="AG13" s="906">
        <v>0</v>
      </c>
      <c r="AH13" s="687">
        <f>VLOOKUP(AF13,Düngemittel!$B$6:$E$64,2,FALSE)*(VLOOKUP(AF13,Düngemittel!$B$6:$E$64,3,FALSE))/100*AG13</f>
        <v>0</v>
      </c>
      <c r="AI13" s="687">
        <f>VLOOKUP(AF13,Düngemittel!$B$6:$E$64,2,FALSE)*AG13</f>
        <v>0</v>
      </c>
      <c r="AJ13" s="687">
        <f>VLOOKUP(AF13,Düngemittel!$B$6:$E$64,4,FALSE)*AG13</f>
        <v>0</v>
      </c>
      <c r="AL13" s="886"/>
      <c r="AM13" s="887" t="s">
        <v>805</v>
      </c>
      <c r="AN13" s="906">
        <v>0</v>
      </c>
      <c r="AO13" s="687">
        <f>VLOOKUP(AM13,Düngemittel!$B$6:$E$64,2,FALSE)*(VLOOKUP(AM13,Düngemittel!$B$6:$E$64,3,FALSE))/100*AN13</f>
        <v>0</v>
      </c>
      <c r="AP13" s="687">
        <f>VLOOKUP(AM13,Düngemittel!$B$6:$E$64,2,FALSE)*AN13</f>
        <v>0</v>
      </c>
      <c r="AQ13" s="687">
        <f>VLOOKUP(AM13,Düngemittel!$B$6:$E$64,4,FALSE)*AN13</f>
        <v>0</v>
      </c>
      <c r="AS13" s="886"/>
      <c r="AT13" s="887" t="s">
        <v>805</v>
      </c>
      <c r="AU13" s="906">
        <v>0</v>
      </c>
      <c r="AV13" s="687">
        <f>VLOOKUP(AT13,Düngemittel!$B$6:$E$64,2,FALSE)*(VLOOKUP(AT13,Düngemittel!$B$6:$E$64,3,FALSE))/100*AU13</f>
        <v>0</v>
      </c>
      <c r="AW13" s="687">
        <f>VLOOKUP(AT13,Düngemittel!$B$6:$E$64,2,FALSE)*AU13</f>
        <v>0</v>
      </c>
      <c r="AX13" s="687">
        <f>VLOOKUP(AT13,Düngemittel!$B$6:$E$64,4,FALSE)*AU13</f>
        <v>0</v>
      </c>
      <c r="AZ13" s="886"/>
      <c r="BA13" s="887" t="s">
        <v>805</v>
      </c>
      <c r="BB13" s="906">
        <v>0</v>
      </c>
      <c r="BC13" s="687">
        <f>VLOOKUP(BA13,Düngemittel!$B$6:$E$64,2,FALSE)*(VLOOKUP(BA13,Düngemittel!$B$6:$E$64,3,FALSE))/100*BB13</f>
        <v>0</v>
      </c>
      <c r="BD13" s="687">
        <f>VLOOKUP(BA13,Düngemittel!$B$6:$E$64,2,FALSE)*BB13</f>
        <v>0</v>
      </c>
      <c r="BE13" s="687">
        <f>VLOOKUP(BA13,Düngemittel!$B$6:$E$64,4,FALSE)*BB13</f>
        <v>0</v>
      </c>
      <c r="BG13" s="853">
        <f t="shared" si="17"/>
        <v>0</v>
      </c>
      <c r="BH13" s="308">
        <f t="shared" si="18"/>
        <v>0</v>
      </c>
      <c r="BI13" s="853">
        <f t="shared" si="18"/>
        <v>0</v>
      </c>
      <c r="BJ13" s="777">
        <f t="shared" si="19"/>
        <v>0</v>
      </c>
      <c r="BK13" s="308">
        <f t="shared" si="20"/>
        <v>0</v>
      </c>
      <c r="BL13" s="83"/>
      <c r="BM13" s="686">
        <f t="shared" si="21"/>
        <v>0</v>
      </c>
      <c r="BN13" s="686">
        <f t="shared" si="10"/>
        <v>0</v>
      </c>
      <c r="BO13" s="686">
        <f t="shared" si="10"/>
        <v>0</v>
      </c>
      <c r="BP13" s="686">
        <f t="shared" si="10"/>
        <v>0</v>
      </c>
      <c r="BQ13" s="686">
        <f t="shared" si="10"/>
        <v>0</v>
      </c>
      <c r="BT13" s="351">
        <f t="shared" si="11"/>
        <v>0</v>
      </c>
      <c r="BU13" s="351">
        <f t="shared" si="12"/>
        <v>0</v>
      </c>
      <c r="BW13" s="580" t="s">
        <v>692</v>
      </c>
      <c r="BX13" s="580">
        <v>350</v>
      </c>
      <c r="BY13" s="580">
        <v>100</v>
      </c>
      <c r="BZ13" s="580">
        <v>0.2</v>
      </c>
      <c r="CA13" s="580">
        <v>0.3</v>
      </c>
      <c r="CB13" s="641">
        <v>60</v>
      </c>
      <c r="CC13" s="393">
        <v>0.15</v>
      </c>
      <c r="CD13" s="352">
        <f t="shared" si="0"/>
        <v>52.5</v>
      </c>
      <c r="CE13" s="9"/>
      <c r="CF13" s="3"/>
    </row>
    <row r="14" spans="1:85" ht="26.25" customHeight="1" x14ac:dyDescent="0.25">
      <c r="A14" s="342"/>
      <c r="B14" s="1215"/>
      <c r="C14" s="600" t="s">
        <v>31</v>
      </c>
      <c r="D14" s="408">
        <f t="shared" si="1"/>
        <v>0</v>
      </c>
      <c r="E14" s="427">
        <f t="shared" si="2"/>
        <v>0</v>
      </c>
      <c r="F14" s="1206"/>
      <c r="G14" s="413">
        <f t="shared" si="3"/>
        <v>0</v>
      </c>
      <c r="H14" s="602" t="s">
        <v>510</v>
      </c>
      <c r="I14" s="427">
        <f t="shared" si="4"/>
        <v>0</v>
      </c>
      <c r="J14" s="430" t="s">
        <v>31</v>
      </c>
      <c r="K14" s="606">
        <f t="shared" si="5"/>
        <v>0</v>
      </c>
      <c r="L14" s="408">
        <f t="shared" si="6"/>
        <v>0</v>
      </c>
      <c r="M14" s="1209"/>
      <c r="N14" s="450" t="s">
        <v>160</v>
      </c>
      <c r="O14" s="427">
        <f t="shared" si="7"/>
        <v>0</v>
      </c>
      <c r="P14" s="1212"/>
      <c r="Q14" s="747">
        <f t="shared" si="13"/>
        <v>0</v>
      </c>
      <c r="R14" s="608">
        <f t="shared" si="8"/>
        <v>0</v>
      </c>
      <c r="S14" s="479">
        <f t="shared" si="9"/>
        <v>0</v>
      </c>
      <c r="T14" s="435">
        <f t="shared" si="14"/>
        <v>0</v>
      </c>
      <c r="V14" s="852">
        <f t="shared" si="15"/>
        <v>0</v>
      </c>
      <c r="W14" s="852" t="str">
        <f t="shared" si="16"/>
        <v>keine</v>
      </c>
      <c r="X14" s="886"/>
      <c r="Y14" s="887" t="s">
        <v>805</v>
      </c>
      <c r="Z14" s="906">
        <v>0</v>
      </c>
      <c r="AA14" s="687">
        <f>VLOOKUP(Y14,Düngemittel!$B$6:$E$64,2,FALSE)*(VLOOKUP(Y14,Düngemittel!$B$6:$E$64,3,FALSE))/100*Z14</f>
        <v>0</v>
      </c>
      <c r="AB14" s="687">
        <f>VLOOKUP(Y14,Düngemittel!$B$6:$E$64,2,FALSE)*Z14</f>
        <v>0</v>
      </c>
      <c r="AC14" s="687">
        <f>VLOOKUP(Y14,Düngemittel!$B$6:$E$64,4,FALSE)*Z14</f>
        <v>0</v>
      </c>
      <c r="AE14" s="886"/>
      <c r="AF14" s="887" t="s">
        <v>805</v>
      </c>
      <c r="AG14" s="906">
        <v>0</v>
      </c>
      <c r="AH14" s="687">
        <f>VLOOKUP(AF14,Düngemittel!$B$6:$E$64,2,FALSE)*(VLOOKUP(AF14,Düngemittel!$B$6:$E$64,3,FALSE))/100*AG14</f>
        <v>0</v>
      </c>
      <c r="AI14" s="687">
        <f>VLOOKUP(AF14,Düngemittel!$B$6:$E$64,2,FALSE)*AG14</f>
        <v>0</v>
      </c>
      <c r="AJ14" s="687">
        <f>VLOOKUP(AF14,Düngemittel!$B$6:$E$64,4,FALSE)*AG14</f>
        <v>0</v>
      </c>
      <c r="AL14" s="886"/>
      <c r="AM14" s="887" t="s">
        <v>805</v>
      </c>
      <c r="AN14" s="906">
        <v>0</v>
      </c>
      <c r="AO14" s="687">
        <f>VLOOKUP(AM14,Düngemittel!$B$6:$E$64,2,FALSE)*(VLOOKUP(AM14,Düngemittel!$B$6:$E$64,3,FALSE))/100*AN14</f>
        <v>0</v>
      </c>
      <c r="AP14" s="687">
        <f>VLOOKUP(AM14,Düngemittel!$B$6:$E$64,2,FALSE)*AN14</f>
        <v>0</v>
      </c>
      <c r="AQ14" s="687">
        <f>VLOOKUP(AM14,Düngemittel!$B$6:$E$64,4,FALSE)*AN14</f>
        <v>0</v>
      </c>
      <c r="AS14" s="886"/>
      <c r="AT14" s="887" t="s">
        <v>805</v>
      </c>
      <c r="AU14" s="906">
        <v>0</v>
      </c>
      <c r="AV14" s="687">
        <f>VLOOKUP(AT14,Düngemittel!$B$6:$E$64,2,FALSE)*(VLOOKUP(AT14,Düngemittel!$B$6:$E$64,3,FALSE))/100*AU14</f>
        <v>0</v>
      </c>
      <c r="AW14" s="687">
        <f>VLOOKUP(AT14,Düngemittel!$B$6:$E$64,2,FALSE)*AU14</f>
        <v>0</v>
      </c>
      <c r="AX14" s="687">
        <f>VLOOKUP(AT14,Düngemittel!$B$6:$E$64,4,FALSE)*AU14</f>
        <v>0</v>
      </c>
      <c r="AZ14" s="886"/>
      <c r="BA14" s="887" t="s">
        <v>805</v>
      </c>
      <c r="BB14" s="906">
        <v>0</v>
      </c>
      <c r="BC14" s="687">
        <f>VLOOKUP(BA14,Düngemittel!$B$6:$E$64,2,FALSE)*(VLOOKUP(BA14,Düngemittel!$B$6:$E$64,3,FALSE))/100*BB14</f>
        <v>0</v>
      </c>
      <c r="BD14" s="687">
        <f>VLOOKUP(BA14,Düngemittel!$B$6:$E$64,2,FALSE)*BB14</f>
        <v>0</v>
      </c>
      <c r="BE14" s="687">
        <f>VLOOKUP(BA14,Düngemittel!$B$6:$E$64,4,FALSE)*BB14</f>
        <v>0</v>
      </c>
      <c r="BG14" s="853">
        <f t="shared" si="17"/>
        <v>0</v>
      </c>
      <c r="BH14" s="308">
        <f t="shared" si="18"/>
        <v>0</v>
      </c>
      <c r="BI14" s="853">
        <f t="shared" si="18"/>
        <v>0</v>
      </c>
      <c r="BJ14" s="777">
        <f t="shared" si="19"/>
        <v>0</v>
      </c>
      <c r="BK14" s="308">
        <f t="shared" si="20"/>
        <v>0</v>
      </c>
      <c r="BL14" s="83"/>
      <c r="BM14" s="686">
        <f t="shared" si="21"/>
        <v>0</v>
      </c>
      <c r="BN14" s="686">
        <f t="shared" si="10"/>
        <v>0</v>
      </c>
      <c r="BO14" s="686">
        <f t="shared" si="10"/>
        <v>0</v>
      </c>
      <c r="BP14" s="686">
        <f t="shared" si="10"/>
        <v>0</v>
      </c>
      <c r="BQ14" s="686">
        <f t="shared" si="10"/>
        <v>0</v>
      </c>
      <c r="BT14" s="351">
        <f t="shared" si="11"/>
        <v>0</v>
      </c>
      <c r="BU14" s="351">
        <f t="shared" si="12"/>
        <v>0</v>
      </c>
      <c r="BW14" s="580" t="s">
        <v>693</v>
      </c>
      <c r="BX14" s="580">
        <v>350</v>
      </c>
      <c r="BY14" s="580">
        <v>180</v>
      </c>
      <c r="BZ14" s="580">
        <v>0.2</v>
      </c>
      <c r="CA14" s="580">
        <v>0.3</v>
      </c>
      <c r="CB14" s="641">
        <v>60</v>
      </c>
      <c r="CC14" s="393">
        <v>0.15</v>
      </c>
      <c r="CD14" s="352">
        <f t="shared" si="0"/>
        <v>52.5</v>
      </c>
      <c r="CE14" s="9"/>
      <c r="CF14"/>
    </row>
    <row r="15" spans="1:85" ht="26.25" customHeight="1" x14ac:dyDescent="0.25">
      <c r="A15" s="342"/>
      <c r="B15" s="1215"/>
      <c r="C15" s="600" t="s">
        <v>31</v>
      </c>
      <c r="D15" s="408">
        <f t="shared" si="1"/>
        <v>0</v>
      </c>
      <c r="E15" s="427">
        <f t="shared" si="2"/>
        <v>0</v>
      </c>
      <c r="F15" s="1206"/>
      <c r="G15" s="413">
        <f t="shared" si="3"/>
        <v>0</v>
      </c>
      <c r="H15" s="602" t="s">
        <v>510</v>
      </c>
      <c r="I15" s="427">
        <f t="shared" si="4"/>
        <v>0</v>
      </c>
      <c r="J15" s="430" t="s">
        <v>31</v>
      </c>
      <c r="K15" s="606">
        <f t="shared" si="5"/>
        <v>0</v>
      </c>
      <c r="L15" s="408">
        <f t="shared" si="6"/>
        <v>0</v>
      </c>
      <c r="M15" s="1209"/>
      <c r="N15" s="450" t="s">
        <v>160</v>
      </c>
      <c r="O15" s="427">
        <f t="shared" si="7"/>
        <v>0</v>
      </c>
      <c r="P15" s="1212"/>
      <c r="Q15" s="747">
        <f t="shared" si="13"/>
        <v>0</v>
      </c>
      <c r="R15" s="608">
        <f t="shared" si="8"/>
        <v>0</v>
      </c>
      <c r="S15" s="479">
        <f t="shared" si="9"/>
        <v>0</v>
      </c>
      <c r="T15" s="435">
        <f t="shared" si="14"/>
        <v>0</v>
      </c>
      <c r="V15" s="852">
        <f t="shared" si="15"/>
        <v>0</v>
      </c>
      <c r="W15" s="852" t="str">
        <f t="shared" si="16"/>
        <v>keine</v>
      </c>
      <c r="X15" s="886"/>
      <c r="Y15" s="887" t="s">
        <v>805</v>
      </c>
      <c r="Z15" s="906">
        <v>0</v>
      </c>
      <c r="AA15" s="687">
        <f>VLOOKUP(Y15,Düngemittel!$B$6:$E$64,2,FALSE)*(VLOOKUP(Y15,Düngemittel!$B$6:$E$64,3,FALSE))/100*Z15</f>
        <v>0</v>
      </c>
      <c r="AB15" s="687">
        <f>VLOOKUP(Y15,Düngemittel!$B$6:$E$64,2,FALSE)*Z15</f>
        <v>0</v>
      </c>
      <c r="AC15" s="687">
        <f>VLOOKUP(Y15,Düngemittel!$B$6:$E$64,4,FALSE)*Z15</f>
        <v>0</v>
      </c>
      <c r="AE15" s="886"/>
      <c r="AF15" s="887" t="s">
        <v>805</v>
      </c>
      <c r="AG15" s="906">
        <v>0</v>
      </c>
      <c r="AH15" s="687">
        <f>VLOOKUP(AF15,Düngemittel!$B$6:$E$64,2,FALSE)*(VLOOKUP(AF15,Düngemittel!$B$6:$E$64,3,FALSE))/100*AG15</f>
        <v>0</v>
      </c>
      <c r="AI15" s="687">
        <f>VLOOKUP(AF15,Düngemittel!$B$6:$E$64,2,FALSE)*AG15</f>
        <v>0</v>
      </c>
      <c r="AJ15" s="687">
        <f>VLOOKUP(AF15,Düngemittel!$B$6:$E$64,4,FALSE)*AG15</f>
        <v>0</v>
      </c>
      <c r="AL15" s="886"/>
      <c r="AM15" s="887" t="s">
        <v>805</v>
      </c>
      <c r="AN15" s="906">
        <v>0</v>
      </c>
      <c r="AO15" s="687">
        <f>VLOOKUP(AM15,Düngemittel!$B$6:$E$64,2,FALSE)*(VLOOKUP(AM15,Düngemittel!$B$6:$E$64,3,FALSE))/100*AN15</f>
        <v>0</v>
      </c>
      <c r="AP15" s="687">
        <f>VLOOKUP(AM15,Düngemittel!$B$6:$E$64,2,FALSE)*AN15</f>
        <v>0</v>
      </c>
      <c r="AQ15" s="687">
        <f>VLOOKUP(AM15,Düngemittel!$B$6:$E$64,4,FALSE)*AN15</f>
        <v>0</v>
      </c>
      <c r="AS15" s="886"/>
      <c r="AT15" s="887" t="s">
        <v>805</v>
      </c>
      <c r="AU15" s="906">
        <v>0</v>
      </c>
      <c r="AV15" s="687">
        <f>VLOOKUP(AT15,Düngemittel!$B$6:$E$64,2,FALSE)*(VLOOKUP(AT15,Düngemittel!$B$6:$E$64,3,FALSE))/100*AU15</f>
        <v>0</v>
      </c>
      <c r="AW15" s="687">
        <f>VLOOKUP(AT15,Düngemittel!$B$6:$E$64,2,FALSE)*AU15</f>
        <v>0</v>
      </c>
      <c r="AX15" s="687">
        <f>VLOOKUP(AT15,Düngemittel!$B$6:$E$64,4,FALSE)*AU15</f>
        <v>0</v>
      </c>
      <c r="AZ15" s="886"/>
      <c r="BA15" s="887" t="s">
        <v>805</v>
      </c>
      <c r="BB15" s="906">
        <v>0</v>
      </c>
      <c r="BC15" s="687">
        <f>VLOOKUP(BA15,Düngemittel!$B$6:$E$64,2,FALSE)*(VLOOKUP(BA15,Düngemittel!$B$6:$E$64,3,FALSE))/100*BB15</f>
        <v>0</v>
      </c>
      <c r="BD15" s="687">
        <f>VLOOKUP(BA15,Düngemittel!$B$6:$E$64,2,FALSE)*BB15</f>
        <v>0</v>
      </c>
      <c r="BE15" s="687">
        <f>VLOOKUP(BA15,Düngemittel!$B$6:$E$64,4,FALSE)*BB15</f>
        <v>0</v>
      </c>
      <c r="BG15" s="853">
        <f t="shared" si="17"/>
        <v>0</v>
      </c>
      <c r="BH15" s="308">
        <f t="shared" si="18"/>
        <v>0</v>
      </c>
      <c r="BI15" s="853">
        <f t="shared" si="18"/>
        <v>0</v>
      </c>
      <c r="BJ15" s="777">
        <f t="shared" si="19"/>
        <v>0</v>
      </c>
      <c r="BK15" s="308">
        <f t="shared" si="20"/>
        <v>0</v>
      </c>
      <c r="BL15" s="83"/>
      <c r="BM15" s="686">
        <f t="shared" si="21"/>
        <v>0</v>
      </c>
      <c r="BN15" s="686">
        <f t="shared" si="10"/>
        <v>0</v>
      </c>
      <c r="BO15" s="686">
        <f t="shared" si="10"/>
        <v>0</v>
      </c>
      <c r="BP15" s="686">
        <f t="shared" si="10"/>
        <v>0</v>
      </c>
      <c r="BQ15" s="686">
        <f t="shared" si="10"/>
        <v>0</v>
      </c>
      <c r="BT15" s="351">
        <f t="shared" si="11"/>
        <v>0</v>
      </c>
      <c r="BU15" s="351">
        <f t="shared" si="12"/>
        <v>0</v>
      </c>
      <c r="BW15" s="240" t="s">
        <v>701</v>
      </c>
      <c r="BX15" s="240">
        <v>650</v>
      </c>
      <c r="BY15" s="594">
        <v>190</v>
      </c>
      <c r="BZ15" s="595">
        <v>0.2</v>
      </c>
      <c r="CA15" s="595">
        <v>0.24</v>
      </c>
      <c r="CB15" s="641">
        <v>90</v>
      </c>
      <c r="CC15" s="393">
        <v>0.09</v>
      </c>
      <c r="CD15" s="352">
        <f t="shared" si="0"/>
        <v>58.5</v>
      </c>
    </row>
    <row r="16" spans="1:85" ht="26.25" customHeight="1" x14ac:dyDescent="0.25">
      <c r="A16" s="342"/>
      <c r="B16" s="1215"/>
      <c r="C16" s="600" t="s">
        <v>31</v>
      </c>
      <c r="D16" s="408">
        <f t="shared" si="1"/>
        <v>0</v>
      </c>
      <c r="E16" s="427">
        <f t="shared" si="2"/>
        <v>0</v>
      </c>
      <c r="F16" s="1206"/>
      <c r="G16" s="413">
        <f t="shared" si="3"/>
        <v>0</v>
      </c>
      <c r="H16" s="602" t="s">
        <v>510</v>
      </c>
      <c r="I16" s="427">
        <f t="shared" si="4"/>
        <v>0</v>
      </c>
      <c r="J16" s="430" t="s">
        <v>31</v>
      </c>
      <c r="K16" s="606">
        <f t="shared" si="5"/>
        <v>0</v>
      </c>
      <c r="L16" s="408">
        <f t="shared" si="6"/>
        <v>0</v>
      </c>
      <c r="M16" s="1209"/>
      <c r="N16" s="450" t="s">
        <v>160</v>
      </c>
      <c r="O16" s="427">
        <f t="shared" si="7"/>
        <v>0</v>
      </c>
      <c r="P16" s="1212"/>
      <c r="Q16" s="747">
        <f t="shared" si="13"/>
        <v>0</v>
      </c>
      <c r="R16" s="608">
        <f t="shared" si="8"/>
        <v>0</v>
      </c>
      <c r="S16" s="479">
        <f t="shared" si="9"/>
        <v>0</v>
      </c>
      <c r="T16" s="435">
        <f t="shared" si="14"/>
        <v>0</v>
      </c>
      <c r="V16" s="852">
        <f t="shared" si="15"/>
        <v>0</v>
      </c>
      <c r="W16" s="852" t="str">
        <f t="shared" si="16"/>
        <v>keine</v>
      </c>
      <c r="X16" s="886"/>
      <c r="Y16" s="887" t="s">
        <v>805</v>
      </c>
      <c r="Z16" s="906">
        <v>0</v>
      </c>
      <c r="AA16" s="687">
        <f>VLOOKUP(Y16,Düngemittel!$B$6:$E$64,2,FALSE)*(VLOOKUP(Y16,Düngemittel!$B$6:$E$64,3,FALSE))/100*Z16</f>
        <v>0</v>
      </c>
      <c r="AB16" s="687">
        <f>VLOOKUP(Y16,Düngemittel!$B$6:$E$64,2,FALSE)*Z16</f>
        <v>0</v>
      </c>
      <c r="AC16" s="687">
        <f>VLOOKUP(Y16,Düngemittel!$B$6:$E$64,4,FALSE)*Z16</f>
        <v>0</v>
      </c>
      <c r="AE16" s="886"/>
      <c r="AF16" s="887" t="s">
        <v>805</v>
      </c>
      <c r="AG16" s="906">
        <v>0</v>
      </c>
      <c r="AH16" s="687">
        <f>VLOOKUP(AF16,Düngemittel!$B$6:$E$64,2,FALSE)*(VLOOKUP(AF16,Düngemittel!$B$6:$E$64,3,FALSE))/100*AG16</f>
        <v>0</v>
      </c>
      <c r="AI16" s="687">
        <f>VLOOKUP(AF16,Düngemittel!$B$6:$E$64,2,FALSE)*AG16</f>
        <v>0</v>
      </c>
      <c r="AJ16" s="687">
        <f>VLOOKUP(AF16,Düngemittel!$B$6:$E$64,4,FALSE)*AG16</f>
        <v>0</v>
      </c>
      <c r="AL16" s="886"/>
      <c r="AM16" s="887" t="s">
        <v>805</v>
      </c>
      <c r="AN16" s="906">
        <v>0</v>
      </c>
      <c r="AO16" s="687">
        <f>VLOOKUP(AM16,Düngemittel!$B$6:$E$64,2,FALSE)*(VLOOKUP(AM16,Düngemittel!$B$6:$E$64,3,FALSE))/100*AN16</f>
        <v>0</v>
      </c>
      <c r="AP16" s="687">
        <f>VLOOKUP(AM16,Düngemittel!$B$6:$E$64,2,FALSE)*AN16</f>
        <v>0</v>
      </c>
      <c r="AQ16" s="687">
        <f>VLOOKUP(AM16,Düngemittel!$B$6:$E$64,4,FALSE)*AN16</f>
        <v>0</v>
      </c>
      <c r="AS16" s="886"/>
      <c r="AT16" s="887" t="s">
        <v>805</v>
      </c>
      <c r="AU16" s="906">
        <v>0</v>
      </c>
      <c r="AV16" s="687">
        <f>VLOOKUP(AT16,Düngemittel!$B$6:$E$64,2,FALSE)*(VLOOKUP(AT16,Düngemittel!$B$6:$E$64,3,FALSE))/100*AU16</f>
        <v>0</v>
      </c>
      <c r="AW16" s="687">
        <f>VLOOKUP(AT16,Düngemittel!$B$6:$E$64,2,FALSE)*AU16</f>
        <v>0</v>
      </c>
      <c r="AX16" s="687">
        <f>VLOOKUP(AT16,Düngemittel!$B$6:$E$64,4,FALSE)*AU16</f>
        <v>0</v>
      </c>
      <c r="AZ16" s="886"/>
      <c r="BA16" s="887" t="s">
        <v>805</v>
      </c>
      <c r="BB16" s="906">
        <v>0</v>
      </c>
      <c r="BC16" s="687">
        <f>VLOOKUP(BA16,Düngemittel!$B$6:$E$64,2,FALSE)*(VLOOKUP(BA16,Düngemittel!$B$6:$E$64,3,FALSE))/100*BB16</f>
        <v>0</v>
      </c>
      <c r="BD16" s="687">
        <f>VLOOKUP(BA16,Düngemittel!$B$6:$E$64,2,FALSE)*BB16</f>
        <v>0</v>
      </c>
      <c r="BE16" s="687">
        <f>VLOOKUP(BA16,Düngemittel!$B$6:$E$64,4,FALSE)*BB16</f>
        <v>0</v>
      </c>
      <c r="BG16" s="853">
        <f t="shared" si="17"/>
        <v>0</v>
      </c>
      <c r="BH16" s="308">
        <f t="shared" si="18"/>
        <v>0</v>
      </c>
      <c r="BI16" s="853">
        <f t="shared" si="18"/>
        <v>0</v>
      </c>
      <c r="BJ16" s="777">
        <f t="shared" si="19"/>
        <v>0</v>
      </c>
      <c r="BK16" s="308">
        <f t="shared" si="20"/>
        <v>0</v>
      </c>
      <c r="BL16" s="83"/>
      <c r="BM16" s="686">
        <f t="shared" si="21"/>
        <v>0</v>
      </c>
      <c r="BN16" s="686">
        <f t="shared" si="10"/>
        <v>0</v>
      </c>
      <c r="BO16" s="686">
        <f t="shared" si="10"/>
        <v>0</v>
      </c>
      <c r="BP16" s="686">
        <f t="shared" si="10"/>
        <v>0</v>
      </c>
      <c r="BQ16" s="686">
        <f t="shared" si="10"/>
        <v>0</v>
      </c>
      <c r="BT16" s="351">
        <f t="shared" si="11"/>
        <v>0</v>
      </c>
      <c r="BU16" s="351">
        <f t="shared" si="12"/>
        <v>0</v>
      </c>
      <c r="BW16" s="124" t="s">
        <v>16</v>
      </c>
      <c r="BX16" s="124">
        <v>55</v>
      </c>
      <c r="BY16" s="124">
        <v>130</v>
      </c>
      <c r="BZ16" s="124">
        <v>1</v>
      </c>
      <c r="CA16" s="124">
        <v>1.5</v>
      </c>
      <c r="CB16" s="641">
        <v>60</v>
      </c>
      <c r="CC16" s="393">
        <v>0.8</v>
      </c>
      <c r="CD16" s="352">
        <f>BX16*CC16</f>
        <v>44</v>
      </c>
      <c r="CE16" s="32"/>
      <c r="CF16" s="3"/>
    </row>
    <row r="17" spans="1:84" ht="26.25" customHeight="1" x14ac:dyDescent="0.25">
      <c r="A17" s="342"/>
      <c r="B17" s="1215"/>
      <c r="C17" s="600" t="s">
        <v>31</v>
      </c>
      <c r="D17" s="408">
        <f t="shared" si="1"/>
        <v>0</v>
      </c>
      <c r="E17" s="427">
        <f t="shared" si="2"/>
        <v>0</v>
      </c>
      <c r="F17" s="1206"/>
      <c r="G17" s="413">
        <f t="shared" si="3"/>
        <v>0</v>
      </c>
      <c r="H17" s="602" t="s">
        <v>510</v>
      </c>
      <c r="I17" s="427">
        <f t="shared" si="4"/>
        <v>0</v>
      </c>
      <c r="J17" s="430" t="s">
        <v>31</v>
      </c>
      <c r="K17" s="606">
        <f t="shared" si="5"/>
        <v>0</v>
      </c>
      <c r="L17" s="408">
        <f t="shared" si="6"/>
        <v>0</v>
      </c>
      <c r="M17" s="1209"/>
      <c r="N17" s="450" t="s">
        <v>160</v>
      </c>
      <c r="O17" s="427">
        <f t="shared" si="7"/>
        <v>0</v>
      </c>
      <c r="P17" s="1212"/>
      <c r="Q17" s="747">
        <f t="shared" si="13"/>
        <v>0</v>
      </c>
      <c r="R17" s="608">
        <f t="shared" si="8"/>
        <v>0</v>
      </c>
      <c r="S17" s="479">
        <f t="shared" si="9"/>
        <v>0</v>
      </c>
      <c r="T17" s="435">
        <f t="shared" si="14"/>
        <v>0</v>
      </c>
      <c r="V17" s="852">
        <f t="shared" si="15"/>
        <v>0</v>
      </c>
      <c r="W17" s="852" t="str">
        <f t="shared" si="16"/>
        <v>keine</v>
      </c>
      <c r="X17" s="886"/>
      <c r="Y17" s="887" t="s">
        <v>805</v>
      </c>
      <c r="Z17" s="906">
        <v>0</v>
      </c>
      <c r="AA17" s="687">
        <f>VLOOKUP(Y17,Düngemittel!$B$6:$E$64,2,FALSE)*(VLOOKUP(Y17,Düngemittel!$B$6:$E$64,3,FALSE))/100*Z17</f>
        <v>0</v>
      </c>
      <c r="AB17" s="687">
        <f>VLOOKUP(Y17,Düngemittel!$B$6:$E$64,2,FALSE)*Z17</f>
        <v>0</v>
      </c>
      <c r="AC17" s="687">
        <f>VLOOKUP(Y17,Düngemittel!$B$6:$E$64,4,FALSE)*Z17</f>
        <v>0</v>
      </c>
      <c r="AE17" s="886"/>
      <c r="AF17" s="887" t="s">
        <v>805</v>
      </c>
      <c r="AG17" s="906">
        <v>0</v>
      </c>
      <c r="AH17" s="687">
        <f>VLOOKUP(AF17,Düngemittel!$B$6:$E$64,2,FALSE)*(VLOOKUP(AF17,Düngemittel!$B$6:$E$64,3,FALSE))/100*AG17</f>
        <v>0</v>
      </c>
      <c r="AI17" s="687">
        <f>VLOOKUP(AF17,Düngemittel!$B$6:$E$64,2,FALSE)*AG17</f>
        <v>0</v>
      </c>
      <c r="AJ17" s="687">
        <f>VLOOKUP(AF17,Düngemittel!$B$6:$E$64,4,FALSE)*AG17</f>
        <v>0</v>
      </c>
      <c r="AL17" s="886"/>
      <c r="AM17" s="887" t="s">
        <v>805</v>
      </c>
      <c r="AN17" s="906">
        <v>0</v>
      </c>
      <c r="AO17" s="687">
        <f>VLOOKUP(AM17,Düngemittel!$B$6:$E$64,2,FALSE)*(VLOOKUP(AM17,Düngemittel!$B$6:$E$64,3,FALSE))/100*AN17</f>
        <v>0</v>
      </c>
      <c r="AP17" s="687">
        <f>VLOOKUP(AM17,Düngemittel!$B$6:$E$64,2,FALSE)*AN17</f>
        <v>0</v>
      </c>
      <c r="AQ17" s="687">
        <f>VLOOKUP(AM17,Düngemittel!$B$6:$E$64,4,FALSE)*AN17</f>
        <v>0</v>
      </c>
      <c r="AS17" s="886"/>
      <c r="AT17" s="887" t="s">
        <v>805</v>
      </c>
      <c r="AU17" s="906">
        <v>0</v>
      </c>
      <c r="AV17" s="687">
        <f>VLOOKUP(AT17,Düngemittel!$B$6:$E$64,2,FALSE)*(VLOOKUP(AT17,Düngemittel!$B$6:$E$64,3,FALSE))/100*AU17</f>
        <v>0</v>
      </c>
      <c r="AW17" s="687">
        <f>VLOOKUP(AT17,Düngemittel!$B$6:$E$64,2,FALSE)*AU17</f>
        <v>0</v>
      </c>
      <c r="AX17" s="687">
        <f>VLOOKUP(AT17,Düngemittel!$B$6:$E$64,4,FALSE)*AU17</f>
        <v>0</v>
      </c>
      <c r="AZ17" s="886"/>
      <c r="BA17" s="887" t="s">
        <v>805</v>
      </c>
      <c r="BB17" s="906">
        <v>0</v>
      </c>
      <c r="BC17" s="687">
        <f>VLOOKUP(BA17,Düngemittel!$B$6:$E$64,2,FALSE)*(VLOOKUP(BA17,Düngemittel!$B$6:$E$64,3,FALSE))/100*BB17</f>
        <v>0</v>
      </c>
      <c r="BD17" s="687">
        <f>VLOOKUP(BA17,Düngemittel!$B$6:$E$64,2,FALSE)*BB17</f>
        <v>0</v>
      </c>
      <c r="BE17" s="687">
        <f>VLOOKUP(BA17,Düngemittel!$B$6:$E$64,4,FALSE)*BB17</f>
        <v>0</v>
      </c>
      <c r="BG17" s="853">
        <f t="shared" si="17"/>
        <v>0</v>
      </c>
      <c r="BH17" s="308">
        <f t="shared" si="18"/>
        <v>0</v>
      </c>
      <c r="BI17" s="853">
        <f t="shared" si="18"/>
        <v>0</v>
      </c>
      <c r="BJ17" s="777">
        <f t="shared" si="19"/>
        <v>0</v>
      </c>
      <c r="BK17" s="308">
        <f t="shared" si="20"/>
        <v>0</v>
      </c>
      <c r="BL17" s="83"/>
      <c r="BM17" s="686">
        <f t="shared" si="21"/>
        <v>0</v>
      </c>
      <c r="BN17" s="686">
        <f t="shared" si="10"/>
        <v>0</v>
      </c>
      <c r="BO17" s="686">
        <f t="shared" si="10"/>
        <v>0</v>
      </c>
      <c r="BP17" s="686">
        <f t="shared" si="10"/>
        <v>0</v>
      </c>
      <c r="BQ17" s="686">
        <f t="shared" si="10"/>
        <v>0</v>
      </c>
      <c r="BT17" s="351">
        <f t="shared" si="11"/>
        <v>0</v>
      </c>
      <c r="BU17" s="351">
        <f t="shared" si="12"/>
        <v>0</v>
      </c>
      <c r="BW17" s="580" t="s">
        <v>769</v>
      </c>
      <c r="BX17" s="580">
        <v>550</v>
      </c>
      <c r="BY17" s="580">
        <v>200</v>
      </c>
      <c r="BZ17" s="580">
        <v>0.2</v>
      </c>
      <c r="CA17" s="580">
        <v>0.3</v>
      </c>
      <c r="CB17" s="591">
        <v>60</v>
      </c>
      <c r="CC17" s="393">
        <v>0.12</v>
      </c>
      <c r="CD17" s="352">
        <f t="shared" si="0"/>
        <v>66</v>
      </c>
      <c r="CE17" s="9"/>
      <c r="CF17" s="3"/>
    </row>
    <row r="18" spans="1:84" ht="26.25" customHeight="1" x14ac:dyDescent="0.25">
      <c r="A18" s="342"/>
      <c r="B18" s="1215"/>
      <c r="C18" s="600" t="s">
        <v>31</v>
      </c>
      <c r="D18" s="408">
        <f t="shared" si="1"/>
        <v>0</v>
      </c>
      <c r="E18" s="427">
        <f t="shared" si="2"/>
        <v>0</v>
      </c>
      <c r="F18" s="1206"/>
      <c r="G18" s="413">
        <f t="shared" si="3"/>
        <v>0</v>
      </c>
      <c r="H18" s="602" t="s">
        <v>510</v>
      </c>
      <c r="I18" s="427">
        <f t="shared" si="4"/>
        <v>0</v>
      </c>
      <c r="J18" s="430" t="s">
        <v>31</v>
      </c>
      <c r="K18" s="606">
        <f t="shared" si="5"/>
        <v>0</v>
      </c>
      <c r="L18" s="408">
        <f t="shared" si="6"/>
        <v>0</v>
      </c>
      <c r="M18" s="1209"/>
      <c r="N18" s="450" t="s">
        <v>160</v>
      </c>
      <c r="O18" s="427">
        <f t="shared" si="7"/>
        <v>0</v>
      </c>
      <c r="P18" s="1212"/>
      <c r="Q18" s="747">
        <f t="shared" si="13"/>
        <v>0</v>
      </c>
      <c r="R18" s="608">
        <f t="shared" si="8"/>
        <v>0</v>
      </c>
      <c r="S18" s="479">
        <f t="shared" si="9"/>
        <v>0</v>
      </c>
      <c r="T18" s="435">
        <f t="shared" si="14"/>
        <v>0</v>
      </c>
      <c r="V18" s="852">
        <f t="shared" si="15"/>
        <v>0</v>
      </c>
      <c r="W18" s="852" t="str">
        <f t="shared" si="16"/>
        <v>keine</v>
      </c>
      <c r="X18" s="886"/>
      <c r="Y18" s="887" t="s">
        <v>805</v>
      </c>
      <c r="Z18" s="906">
        <v>0</v>
      </c>
      <c r="AA18" s="687">
        <f>VLOOKUP(Y18,Düngemittel!$B$6:$E$64,2,FALSE)*(VLOOKUP(Y18,Düngemittel!$B$6:$E$64,3,FALSE))/100*Z18</f>
        <v>0</v>
      </c>
      <c r="AB18" s="687">
        <f>VLOOKUP(Y18,Düngemittel!$B$6:$E$64,2,FALSE)*Z18</f>
        <v>0</v>
      </c>
      <c r="AC18" s="687">
        <f>VLOOKUP(Y18,Düngemittel!$B$6:$E$64,4,FALSE)*Z18</f>
        <v>0</v>
      </c>
      <c r="AE18" s="886"/>
      <c r="AF18" s="887" t="s">
        <v>805</v>
      </c>
      <c r="AG18" s="906">
        <v>0</v>
      </c>
      <c r="AH18" s="687">
        <f>VLOOKUP(AF18,Düngemittel!$B$6:$E$64,2,FALSE)*(VLOOKUP(AF18,Düngemittel!$B$6:$E$64,3,FALSE))/100*AG18</f>
        <v>0</v>
      </c>
      <c r="AI18" s="687">
        <f>VLOOKUP(AF18,Düngemittel!$B$6:$E$64,2,FALSE)*AG18</f>
        <v>0</v>
      </c>
      <c r="AJ18" s="687">
        <f>VLOOKUP(AF18,Düngemittel!$B$6:$E$64,4,FALSE)*AG18</f>
        <v>0</v>
      </c>
      <c r="AL18" s="886"/>
      <c r="AM18" s="887" t="s">
        <v>805</v>
      </c>
      <c r="AN18" s="906">
        <v>0</v>
      </c>
      <c r="AO18" s="687">
        <f>VLOOKUP(AM18,Düngemittel!$B$6:$E$64,2,FALSE)*(VLOOKUP(AM18,Düngemittel!$B$6:$E$64,3,FALSE))/100*AN18</f>
        <v>0</v>
      </c>
      <c r="AP18" s="687">
        <f>VLOOKUP(AM18,Düngemittel!$B$6:$E$64,2,FALSE)*AN18</f>
        <v>0</v>
      </c>
      <c r="AQ18" s="687">
        <f>VLOOKUP(AM18,Düngemittel!$B$6:$E$64,4,FALSE)*AN18</f>
        <v>0</v>
      </c>
      <c r="AS18" s="886"/>
      <c r="AT18" s="887" t="s">
        <v>805</v>
      </c>
      <c r="AU18" s="906">
        <v>0</v>
      </c>
      <c r="AV18" s="687">
        <f>VLOOKUP(AT18,Düngemittel!$B$6:$E$64,2,FALSE)*(VLOOKUP(AT18,Düngemittel!$B$6:$E$64,3,FALSE))/100*AU18</f>
        <v>0</v>
      </c>
      <c r="AW18" s="687">
        <f>VLOOKUP(AT18,Düngemittel!$B$6:$E$64,2,FALSE)*AU18</f>
        <v>0</v>
      </c>
      <c r="AX18" s="687">
        <f>VLOOKUP(AT18,Düngemittel!$B$6:$E$64,4,FALSE)*AU18</f>
        <v>0</v>
      </c>
      <c r="AZ18" s="886"/>
      <c r="BA18" s="887" t="s">
        <v>805</v>
      </c>
      <c r="BB18" s="906">
        <v>0</v>
      </c>
      <c r="BC18" s="687">
        <f>VLOOKUP(BA18,Düngemittel!$B$6:$E$64,2,FALSE)*(VLOOKUP(BA18,Düngemittel!$B$6:$E$64,3,FALSE))/100*BB18</f>
        <v>0</v>
      </c>
      <c r="BD18" s="687">
        <f>VLOOKUP(BA18,Düngemittel!$B$6:$E$64,2,FALSE)*BB18</f>
        <v>0</v>
      </c>
      <c r="BE18" s="687">
        <f>VLOOKUP(BA18,Düngemittel!$B$6:$E$64,4,FALSE)*BB18</f>
        <v>0</v>
      </c>
      <c r="BG18" s="853">
        <f t="shared" si="17"/>
        <v>0</v>
      </c>
      <c r="BH18" s="308">
        <f t="shared" si="18"/>
        <v>0</v>
      </c>
      <c r="BI18" s="853">
        <f t="shared" si="18"/>
        <v>0</v>
      </c>
      <c r="BJ18" s="777">
        <f t="shared" si="19"/>
        <v>0</v>
      </c>
      <c r="BK18" s="308">
        <f t="shared" si="20"/>
        <v>0</v>
      </c>
      <c r="BL18" s="83"/>
      <c r="BM18" s="686">
        <f t="shared" si="21"/>
        <v>0</v>
      </c>
      <c r="BN18" s="686">
        <f t="shared" si="10"/>
        <v>0</v>
      </c>
      <c r="BO18" s="686">
        <f t="shared" si="10"/>
        <v>0</v>
      </c>
      <c r="BP18" s="686">
        <f t="shared" si="10"/>
        <v>0</v>
      </c>
      <c r="BQ18" s="686">
        <f t="shared" si="10"/>
        <v>0</v>
      </c>
      <c r="BT18" s="351">
        <f t="shared" si="11"/>
        <v>0</v>
      </c>
      <c r="BU18" s="351">
        <f t="shared" si="12"/>
        <v>0</v>
      </c>
      <c r="BW18" s="124" t="s">
        <v>224</v>
      </c>
      <c r="BX18" s="124">
        <v>450</v>
      </c>
      <c r="BY18" s="124">
        <v>180</v>
      </c>
      <c r="BZ18" s="593">
        <v>0.2</v>
      </c>
      <c r="CA18" s="593">
        <v>0.2</v>
      </c>
      <c r="CB18" s="641">
        <v>60</v>
      </c>
      <c r="CC18" s="393">
        <v>0.14000000000000001</v>
      </c>
      <c r="CD18" s="352">
        <f t="shared" si="0"/>
        <v>63.000000000000007</v>
      </c>
      <c r="CE18" s="9"/>
      <c r="CF18" s="3"/>
    </row>
    <row r="19" spans="1:84" ht="26.25" customHeight="1" x14ac:dyDescent="0.25">
      <c r="A19" s="342"/>
      <c r="B19" s="1215"/>
      <c r="C19" s="600" t="s">
        <v>31</v>
      </c>
      <c r="D19" s="408">
        <f t="shared" si="1"/>
        <v>0</v>
      </c>
      <c r="E19" s="427">
        <f t="shared" si="2"/>
        <v>0</v>
      </c>
      <c r="F19" s="1206"/>
      <c r="G19" s="413">
        <f t="shared" si="3"/>
        <v>0</v>
      </c>
      <c r="H19" s="602" t="s">
        <v>510</v>
      </c>
      <c r="I19" s="427">
        <f t="shared" si="4"/>
        <v>0</v>
      </c>
      <c r="J19" s="430" t="s">
        <v>31</v>
      </c>
      <c r="K19" s="606">
        <f t="shared" si="5"/>
        <v>0</v>
      </c>
      <c r="L19" s="408">
        <f t="shared" si="6"/>
        <v>0</v>
      </c>
      <c r="M19" s="1209"/>
      <c r="N19" s="450" t="s">
        <v>160</v>
      </c>
      <c r="O19" s="427">
        <f t="shared" si="7"/>
        <v>0</v>
      </c>
      <c r="P19" s="1212"/>
      <c r="Q19" s="747">
        <f t="shared" si="13"/>
        <v>0</v>
      </c>
      <c r="R19" s="608">
        <f t="shared" si="8"/>
        <v>0</v>
      </c>
      <c r="S19" s="479">
        <f t="shared" si="9"/>
        <v>0</v>
      </c>
      <c r="T19" s="435">
        <f t="shared" si="14"/>
        <v>0</v>
      </c>
      <c r="V19" s="852">
        <f t="shared" si="15"/>
        <v>0</v>
      </c>
      <c r="W19" s="852" t="str">
        <f t="shared" si="16"/>
        <v>keine</v>
      </c>
      <c r="X19" s="886"/>
      <c r="Y19" s="887" t="s">
        <v>805</v>
      </c>
      <c r="Z19" s="906">
        <v>0</v>
      </c>
      <c r="AA19" s="687">
        <f>VLOOKUP(Y19,Düngemittel!$B$6:$E$64,2,FALSE)*(VLOOKUP(Y19,Düngemittel!$B$6:$E$64,3,FALSE))/100*Z19</f>
        <v>0</v>
      </c>
      <c r="AB19" s="687">
        <f>VLOOKUP(Y19,Düngemittel!$B$6:$E$64,2,FALSE)*Z19</f>
        <v>0</v>
      </c>
      <c r="AC19" s="687">
        <f>VLOOKUP(Y19,Düngemittel!$B$6:$E$64,4,FALSE)*Z19</f>
        <v>0</v>
      </c>
      <c r="AE19" s="886"/>
      <c r="AF19" s="887" t="s">
        <v>805</v>
      </c>
      <c r="AG19" s="906">
        <v>0</v>
      </c>
      <c r="AH19" s="687">
        <f>VLOOKUP(AF19,Düngemittel!$B$6:$E$64,2,FALSE)*(VLOOKUP(AF19,Düngemittel!$B$6:$E$64,3,FALSE))/100*AG19</f>
        <v>0</v>
      </c>
      <c r="AI19" s="687">
        <f>VLOOKUP(AF19,Düngemittel!$B$6:$E$64,2,FALSE)*AG19</f>
        <v>0</v>
      </c>
      <c r="AJ19" s="687">
        <f>VLOOKUP(AF19,Düngemittel!$B$6:$E$64,4,FALSE)*AG19</f>
        <v>0</v>
      </c>
      <c r="AL19" s="886"/>
      <c r="AM19" s="887" t="s">
        <v>805</v>
      </c>
      <c r="AN19" s="906">
        <v>0</v>
      </c>
      <c r="AO19" s="687">
        <f>VLOOKUP(AM19,Düngemittel!$B$6:$E$64,2,FALSE)*(VLOOKUP(AM19,Düngemittel!$B$6:$E$64,3,FALSE))/100*AN19</f>
        <v>0</v>
      </c>
      <c r="AP19" s="687">
        <f>VLOOKUP(AM19,Düngemittel!$B$6:$E$64,2,FALSE)*AN19</f>
        <v>0</v>
      </c>
      <c r="AQ19" s="687">
        <f>VLOOKUP(AM19,Düngemittel!$B$6:$E$64,4,FALSE)*AN19</f>
        <v>0</v>
      </c>
      <c r="AS19" s="886"/>
      <c r="AT19" s="887" t="s">
        <v>805</v>
      </c>
      <c r="AU19" s="906">
        <v>0</v>
      </c>
      <c r="AV19" s="687">
        <f>VLOOKUP(AT19,Düngemittel!$B$6:$E$64,2,FALSE)*(VLOOKUP(AT19,Düngemittel!$B$6:$E$64,3,FALSE))/100*AU19</f>
        <v>0</v>
      </c>
      <c r="AW19" s="687">
        <f>VLOOKUP(AT19,Düngemittel!$B$6:$E$64,2,FALSE)*AU19</f>
        <v>0</v>
      </c>
      <c r="AX19" s="687">
        <f>VLOOKUP(AT19,Düngemittel!$B$6:$E$64,4,FALSE)*AU19</f>
        <v>0</v>
      </c>
      <c r="AZ19" s="886"/>
      <c r="BA19" s="887" t="s">
        <v>805</v>
      </c>
      <c r="BB19" s="906">
        <v>0</v>
      </c>
      <c r="BC19" s="687">
        <f>VLOOKUP(BA19,Düngemittel!$B$6:$E$64,2,FALSE)*(VLOOKUP(BA19,Düngemittel!$B$6:$E$64,3,FALSE))/100*BB19</f>
        <v>0</v>
      </c>
      <c r="BD19" s="687">
        <f>VLOOKUP(BA19,Düngemittel!$B$6:$E$64,2,FALSE)*BB19</f>
        <v>0</v>
      </c>
      <c r="BE19" s="687">
        <f>VLOOKUP(BA19,Düngemittel!$B$6:$E$64,4,FALSE)*BB19</f>
        <v>0</v>
      </c>
      <c r="BG19" s="853">
        <f t="shared" si="17"/>
        <v>0</v>
      </c>
      <c r="BH19" s="308">
        <f t="shared" si="18"/>
        <v>0</v>
      </c>
      <c r="BI19" s="853">
        <f t="shared" si="18"/>
        <v>0</v>
      </c>
      <c r="BJ19" s="777">
        <f t="shared" si="19"/>
        <v>0</v>
      </c>
      <c r="BK19" s="308">
        <f t="shared" si="20"/>
        <v>0</v>
      </c>
      <c r="BL19" s="83"/>
      <c r="BM19" s="686">
        <f t="shared" si="21"/>
        <v>0</v>
      </c>
      <c r="BN19" s="686">
        <f t="shared" si="10"/>
        <v>0</v>
      </c>
      <c r="BO19" s="686">
        <f t="shared" si="10"/>
        <v>0</v>
      </c>
      <c r="BP19" s="686">
        <f t="shared" si="10"/>
        <v>0</v>
      </c>
      <c r="BQ19" s="686">
        <f t="shared" si="10"/>
        <v>0</v>
      </c>
      <c r="BT19" s="351">
        <f t="shared" si="11"/>
        <v>0</v>
      </c>
      <c r="BU19" s="351">
        <f t="shared" si="12"/>
        <v>0</v>
      </c>
      <c r="BW19" s="124" t="s">
        <v>31</v>
      </c>
      <c r="BX19" s="124">
        <v>0</v>
      </c>
      <c r="BY19" s="124">
        <v>0</v>
      </c>
      <c r="BZ19" s="124">
        <v>0</v>
      </c>
      <c r="CA19" s="124">
        <v>0</v>
      </c>
      <c r="CB19" s="641">
        <v>0</v>
      </c>
      <c r="CC19" s="393">
        <v>0</v>
      </c>
      <c r="CD19" s="352">
        <f t="shared" si="0"/>
        <v>0</v>
      </c>
      <c r="CE19" s="9"/>
      <c r="CF19" s="3"/>
    </row>
    <row r="20" spans="1:84" ht="26.25" customHeight="1" x14ac:dyDescent="0.25">
      <c r="A20" s="342"/>
      <c r="B20" s="1215"/>
      <c r="C20" s="600" t="s">
        <v>31</v>
      </c>
      <c r="D20" s="408">
        <f t="shared" si="1"/>
        <v>0</v>
      </c>
      <c r="E20" s="427">
        <f t="shared" si="2"/>
        <v>0</v>
      </c>
      <c r="F20" s="1206"/>
      <c r="G20" s="413">
        <f t="shared" si="3"/>
        <v>0</v>
      </c>
      <c r="H20" s="602" t="s">
        <v>510</v>
      </c>
      <c r="I20" s="427">
        <f t="shared" si="4"/>
        <v>0</v>
      </c>
      <c r="J20" s="430" t="s">
        <v>31</v>
      </c>
      <c r="K20" s="606">
        <f t="shared" si="5"/>
        <v>0</v>
      </c>
      <c r="L20" s="408">
        <f t="shared" si="6"/>
        <v>0</v>
      </c>
      <c r="M20" s="1209"/>
      <c r="N20" s="450" t="s">
        <v>160</v>
      </c>
      <c r="O20" s="427">
        <f t="shared" si="7"/>
        <v>0</v>
      </c>
      <c r="P20" s="1212"/>
      <c r="Q20" s="747">
        <f t="shared" si="13"/>
        <v>0</v>
      </c>
      <c r="R20" s="608">
        <f t="shared" si="8"/>
        <v>0</v>
      </c>
      <c r="S20" s="479">
        <f t="shared" si="9"/>
        <v>0</v>
      </c>
      <c r="T20" s="435">
        <f t="shared" si="14"/>
        <v>0</v>
      </c>
      <c r="V20" s="852">
        <f t="shared" si="15"/>
        <v>0</v>
      </c>
      <c r="W20" s="852" t="str">
        <f t="shared" si="16"/>
        <v>keine</v>
      </c>
      <c r="X20" s="886"/>
      <c r="Y20" s="887" t="s">
        <v>805</v>
      </c>
      <c r="Z20" s="906">
        <v>0</v>
      </c>
      <c r="AA20" s="687">
        <f>VLOOKUP(Y20,Düngemittel!$B$6:$E$64,2,FALSE)*(VLOOKUP(Y20,Düngemittel!$B$6:$E$64,3,FALSE))/100*Z20</f>
        <v>0</v>
      </c>
      <c r="AB20" s="687">
        <f>VLOOKUP(Y20,Düngemittel!$B$6:$E$64,2,FALSE)*Z20</f>
        <v>0</v>
      </c>
      <c r="AC20" s="687">
        <f>VLOOKUP(Y20,Düngemittel!$B$6:$E$64,4,FALSE)*Z20</f>
        <v>0</v>
      </c>
      <c r="AE20" s="886"/>
      <c r="AF20" s="887" t="s">
        <v>805</v>
      </c>
      <c r="AG20" s="906">
        <v>0</v>
      </c>
      <c r="AH20" s="687">
        <f>VLOOKUP(AF20,Düngemittel!$B$6:$E$64,2,FALSE)*(VLOOKUP(AF20,Düngemittel!$B$6:$E$64,3,FALSE))/100*AG20</f>
        <v>0</v>
      </c>
      <c r="AI20" s="687">
        <f>VLOOKUP(AF20,Düngemittel!$B$6:$E$64,2,FALSE)*AG20</f>
        <v>0</v>
      </c>
      <c r="AJ20" s="687">
        <f>VLOOKUP(AF20,Düngemittel!$B$6:$E$64,4,FALSE)*AG20</f>
        <v>0</v>
      </c>
      <c r="AL20" s="886"/>
      <c r="AM20" s="887" t="s">
        <v>805</v>
      </c>
      <c r="AN20" s="906">
        <v>0</v>
      </c>
      <c r="AO20" s="687">
        <f>VLOOKUP(AM20,Düngemittel!$B$6:$E$64,2,FALSE)*(VLOOKUP(AM20,Düngemittel!$B$6:$E$64,3,FALSE))/100*AN20</f>
        <v>0</v>
      </c>
      <c r="AP20" s="687">
        <f>VLOOKUP(AM20,Düngemittel!$B$6:$E$64,2,FALSE)*AN20</f>
        <v>0</v>
      </c>
      <c r="AQ20" s="687">
        <f>VLOOKUP(AM20,Düngemittel!$B$6:$E$64,4,FALSE)*AN20</f>
        <v>0</v>
      </c>
      <c r="AS20" s="886"/>
      <c r="AT20" s="887" t="s">
        <v>805</v>
      </c>
      <c r="AU20" s="906">
        <v>0</v>
      </c>
      <c r="AV20" s="687">
        <f>VLOOKUP(AT20,Düngemittel!$B$6:$E$64,2,FALSE)*(VLOOKUP(AT20,Düngemittel!$B$6:$E$64,3,FALSE))/100*AU20</f>
        <v>0</v>
      </c>
      <c r="AW20" s="687">
        <f>VLOOKUP(AT20,Düngemittel!$B$6:$E$64,2,FALSE)*AU20</f>
        <v>0</v>
      </c>
      <c r="AX20" s="687">
        <f>VLOOKUP(AT20,Düngemittel!$B$6:$E$64,4,FALSE)*AU20</f>
        <v>0</v>
      </c>
      <c r="AZ20" s="886"/>
      <c r="BA20" s="887" t="s">
        <v>805</v>
      </c>
      <c r="BB20" s="906">
        <v>0</v>
      </c>
      <c r="BC20" s="687">
        <f>VLOOKUP(BA20,Düngemittel!$B$6:$E$64,2,FALSE)*(VLOOKUP(BA20,Düngemittel!$B$6:$E$64,3,FALSE))/100*BB20</f>
        <v>0</v>
      </c>
      <c r="BD20" s="687">
        <f>VLOOKUP(BA20,Düngemittel!$B$6:$E$64,2,FALSE)*BB20</f>
        <v>0</v>
      </c>
      <c r="BE20" s="687">
        <f>VLOOKUP(BA20,Düngemittel!$B$6:$E$64,4,FALSE)*BB20</f>
        <v>0</v>
      </c>
      <c r="BG20" s="853">
        <f t="shared" si="17"/>
        <v>0</v>
      </c>
      <c r="BH20" s="308">
        <f t="shared" si="18"/>
        <v>0</v>
      </c>
      <c r="BI20" s="853">
        <f t="shared" si="18"/>
        <v>0</v>
      </c>
      <c r="BJ20" s="777">
        <f t="shared" si="19"/>
        <v>0</v>
      </c>
      <c r="BK20" s="308">
        <f t="shared" si="20"/>
        <v>0</v>
      </c>
      <c r="BL20" s="83"/>
      <c r="BM20" s="686">
        <f t="shared" si="21"/>
        <v>0</v>
      </c>
      <c r="BN20" s="686">
        <f t="shared" si="10"/>
        <v>0</v>
      </c>
      <c r="BO20" s="686">
        <f t="shared" si="10"/>
        <v>0</v>
      </c>
      <c r="BP20" s="686">
        <f t="shared" si="10"/>
        <v>0</v>
      </c>
      <c r="BQ20" s="686">
        <f t="shared" si="10"/>
        <v>0</v>
      </c>
      <c r="BT20" s="351">
        <f t="shared" si="11"/>
        <v>0</v>
      </c>
      <c r="BU20" s="351">
        <f t="shared" si="12"/>
        <v>0</v>
      </c>
      <c r="BW20" s="240" t="s">
        <v>689</v>
      </c>
      <c r="BX20" s="240">
        <v>250</v>
      </c>
      <c r="BY20" s="240">
        <v>185</v>
      </c>
      <c r="BZ20" s="240">
        <v>0.2</v>
      </c>
      <c r="CA20" s="240">
        <v>0.3</v>
      </c>
      <c r="CB20" s="641">
        <v>60</v>
      </c>
      <c r="CC20" s="393">
        <v>0.2</v>
      </c>
      <c r="CD20" s="352">
        <f t="shared" si="0"/>
        <v>50</v>
      </c>
      <c r="CE20" s="9"/>
      <c r="CF20" s="3"/>
    </row>
    <row r="21" spans="1:84" ht="26.25" customHeight="1" x14ac:dyDescent="0.25">
      <c r="A21" s="342"/>
      <c r="B21" s="1215"/>
      <c r="C21" s="600" t="s">
        <v>31</v>
      </c>
      <c r="D21" s="408">
        <f t="shared" si="1"/>
        <v>0</v>
      </c>
      <c r="E21" s="427">
        <f t="shared" si="2"/>
        <v>0</v>
      </c>
      <c r="F21" s="1206"/>
      <c r="G21" s="413">
        <f t="shared" si="3"/>
        <v>0</v>
      </c>
      <c r="H21" s="602" t="s">
        <v>510</v>
      </c>
      <c r="I21" s="427">
        <f t="shared" si="4"/>
        <v>0</v>
      </c>
      <c r="J21" s="430" t="s">
        <v>31</v>
      </c>
      <c r="K21" s="606">
        <f t="shared" si="5"/>
        <v>0</v>
      </c>
      <c r="L21" s="408">
        <f t="shared" si="6"/>
        <v>0</v>
      </c>
      <c r="M21" s="1209"/>
      <c r="N21" s="450" t="s">
        <v>160</v>
      </c>
      <c r="O21" s="427">
        <f t="shared" si="7"/>
        <v>0</v>
      </c>
      <c r="P21" s="1212"/>
      <c r="Q21" s="747">
        <f t="shared" si="13"/>
        <v>0</v>
      </c>
      <c r="R21" s="608">
        <f t="shared" si="8"/>
        <v>0</v>
      </c>
      <c r="S21" s="479">
        <f t="shared" si="9"/>
        <v>0</v>
      </c>
      <c r="T21" s="435">
        <f t="shared" si="14"/>
        <v>0</v>
      </c>
      <c r="V21" s="852">
        <f t="shared" si="15"/>
        <v>0</v>
      </c>
      <c r="W21" s="852" t="str">
        <f t="shared" si="16"/>
        <v>keine</v>
      </c>
      <c r="X21" s="886"/>
      <c r="Y21" s="887" t="s">
        <v>805</v>
      </c>
      <c r="Z21" s="906">
        <v>0</v>
      </c>
      <c r="AA21" s="687">
        <f>VLOOKUP(Y21,Düngemittel!$B$6:$E$64,2,FALSE)*(VLOOKUP(Y21,Düngemittel!$B$6:$E$64,3,FALSE))/100*Z21</f>
        <v>0</v>
      </c>
      <c r="AB21" s="687">
        <f>VLOOKUP(Y21,Düngemittel!$B$6:$E$64,2,FALSE)*Z21</f>
        <v>0</v>
      </c>
      <c r="AC21" s="687">
        <f>VLOOKUP(Y21,Düngemittel!$B$6:$E$64,4,FALSE)*Z21</f>
        <v>0</v>
      </c>
      <c r="AE21" s="886"/>
      <c r="AF21" s="887" t="s">
        <v>805</v>
      </c>
      <c r="AG21" s="906">
        <v>0</v>
      </c>
      <c r="AH21" s="687">
        <f>VLOOKUP(AF21,Düngemittel!$B$6:$E$64,2,FALSE)*(VLOOKUP(AF21,Düngemittel!$B$6:$E$64,3,FALSE))/100*AG21</f>
        <v>0</v>
      </c>
      <c r="AI21" s="687">
        <f>VLOOKUP(AF21,Düngemittel!$B$6:$E$64,2,FALSE)*AG21</f>
        <v>0</v>
      </c>
      <c r="AJ21" s="687">
        <f>VLOOKUP(AF21,Düngemittel!$B$6:$E$64,4,FALSE)*AG21</f>
        <v>0</v>
      </c>
      <c r="AL21" s="886"/>
      <c r="AM21" s="887" t="s">
        <v>805</v>
      </c>
      <c r="AN21" s="906">
        <v>0</v>
      </c>
      <c r="AO21" s="687">
        <f>VLOOKUP(AM21,Düngemittel!$B$6:$E$64,2,FALSE)*(VLOOKUP(AM21,Düngemittel!$B$6:$E$64,3,FALSE))/100*AN21</f>
        <v>0</v>
      </c>
      <c r="AP21" s="687">
        <f>VLOOKUP(AM21,Düngemittel!$B$6:$E$64,2,FALSE)*AN21</f>
        <v>0</v>
      </c>
      <c r="AQ21" s="687">
        <f>VLOOKUP(AM21,Düngemittel!$B$6:$E$64,4,FALSE)*AN21</f>
        <v>0</v>
      </c>
      <c r="AS21" s="886"/>
      <c r="AT21" s="887" t="s">
        <v>805</v>
      </c>
      <c r="AU21" s="906">
        <v>0</v>
      </c>
      <c r="AV21" s="687">
        <f>VLOOKUP(AT21,Düngemittel!$B$6:$E$64,2,FALSE)*(VLOOKUP(AT21,Düngemittel!$B$6:$E$64,3,FALSE))/100*AU21</f>
        <v>0</v>
      </c>
      <c r="AW21" s="687">
        <f>VLOOKUP(AT21,Düngemittel!$B$6:$E$64,2,FALSE)*AU21</f>
        <v>0</v>
      </c>
      <c r="AX21" s="687">
        <f>VLOOKUP(AT21,Düngemittel!$B$6:$E$64,4,FALSE)*AU21</f>
        <v>0</v>
      </c>
      <c r="AZ21" s="886"/>
      <c r="BA21" s="887" t="s">
        <v>805</v>
      </c>
      <c r="BB21" s="906">
        <v>0</v>
      </c>
      <c r="BC21" s="687">
        <f>VLOOKUP(BA21,Düngemittel!$B$6:$E$64,2,FALSE)*(VLOOKUP(BA21,Düngemittel!$B$6:$E$64,3,FALSE))/100*BB21</f>
        <v>0</v>
      </c>
      <c r="BD21" s="687">
        <f>VLOOKUP(BA21,Düngemittel!$B$6:$E$64,2,FALSE)*BB21</f>
        <v>0</v>
      </c>
      <c r="BE21" s="687">
        <f>VLOOKUP(BA21,Düngemittel!$B$6:$E$64,4,FALSE)*BB21</f>
        <v>0</v>
      </c>
      <c r="BG21" s="853">
        <f t="shared" si="17"/>
        <v>0</v>
      </c>
      <c r="BH21" s="308">
        <f t="shared" si="18"/>
        <v>0</v>
      </c>
      <c r="BI21" s="853">
        <f t="shared" si="18"/>
        <v>0</v>
      </c>
      <c r="BJ21" s="777">
        <f t="shared" si="19"/>
        <v>0</v>
      </c>
      <c r="BK21" s="308">
        <f t="shared" si="20"/>
        <v>0</v>
      </c>
      <c r="BL21" s="83"/>
      <c r="BM21" s="686">
        <f t="shared" si="21"/>
        <v>0</v>
      </c>
      <c r="BN21" s="686">
        <f t="shared" si="10"/>
        <v>0</v>
      </c>
      <c r="BO21" s="686">
        <f t="shared" si="10"/>
        <v>0</v>
      </c>
      <c r="BP21" s="686">
        <f t="shared" si="10"/>
        <v>0</v>
      </c>
      <c r="BQ21" s="686">
        <f t="shared" si="10"/>
        <v>0</v>
      </c>
      <c r="BT21" s="351">
        <f t="shared" si="11"/>
        <v>0</v>
      </c>
      <c r="BU21" s="351">
        <f t="shared" si="12"/>
        <v>0</v>
      </c>
      <c r="BW21" s="580" t="s">
        <v>761</v>
      </c>
      <c r="BX21" s="580">
        <v>50</v>
      </c>
      <c r="BY21" s="580">
        <v>130</v>
      </c>
      <c r="BZ21" s="580">
        <v>1</v>
      </c>
      <c r="CA21" s="580">
        <v>1.5</v>
      </c>
      <c r="CB21" s="641">
        <v>60</v>
      </c>
      <c r="CC21" s="393">
        <v>0.8</v>
      </c>
      <c r="CD21" s="352">
        <f t="shared" si="0"/>
        <v>40</v>
      </c>
      <c r="CE21" s="9"/>
      <c r="CF21" s="3"/>
    </row>
    <row r="22" spans="1:84" ht="26.25" customHeight="1" x14ac:dyDescent="0.25">
      <c r="A22" s="342"/>
      <c r="B22" s="1215"/>
      <c r="C22" s="600" t="s">
        <v>31</v>
      </c>
      <c r="D22" s="408">
        <f t="shared" si="1"/>
        <v>0</v>
      </c>
      <c r="E22" s="427">
        <f t="shared" si="2"/>
        <v>0</v>
      </c>
      <c r="F22" s="1206"/>
      <c r="G22" s="413">
        <f t="shared" si="3"/>
        <v>0</v>
      </c>
      <c r="H22" s="602" t="s">
        <v>510</v>
      </c>
      <c r="I22" s="427">
        <f t="shared" si="4"/>
        <v>0</v>
      </c>
      <c r="J22" s="430" t="s">
        <v>31</v>
      </c>
      <c r="K22" s="606">
        <f t="shared" si="5"/>
        <v>0</v>
      </c>
      <c r="L22" s="408">
        <f t="shared" si="6"/>
        <v>0</v>
      </c>
      <c r="M22" s="1209"/>
      <c r="N22" s="450" t="s">
        <v>160</v>
      </c>
      <c r="O22" s="427">
        <f t="shared" si="7"/>
        <v>0</v>
      </c>
      <c r="P22" s="1212"/>
      <c r="Q22" s="747">
        <f t="shared" si="13"/>
        <v>0</v>
      </c>
      <c r="R22" s="608">
        <f t="shared" si="8"/>
        <v>0</v>
      </c>
      <c r="S22" s="479">
        <f t="shared" si="9"/>
        <v>0</v>
      </c>
      <c r="T22" s="435">
        <f t="shared" si="14"/>
        <v>0</v>
      </c>
      <c r="V22" s="852">
        <f t="shared" si="15"/>
        <v>0</v>
      </c>
      <c r="W22" s="852" t="str">
        <f t="shared" si="16"/>
        <v>keine</v>
      </c>
      <c r="X22" s="886"/>
      <c r="Y22" s="887" t="s">
        <v>805</v>
      </c>
      <c r="Z22" s="906">
        <v>0</v>
      </c>
      <c r="AA22" s="687">
        <f>VLOOKUP(Y22,Düngemittel!$B$6:$E$64,2,FALSE)*(VLOOKUP(Y22,Düngemittel!$B$6:$E$64,3,FALSE))/100*Z22</f>
        <v>0</v>
      </c>
      <c r="AB22" s="687">
        <f>VLOOKUP(Y22,Düngemittel!$B$6:$E$64,2,FALSE)*Z22</f>
        <v>0</v>
      </c>
      <c r="AC22" s="687">
        <f>VLOOKUP(Y22,Düngemittel!$B$6:$E$64,4,FALSE)*Z22</f>
        <v>0</v>
      </c>
      <c r="AE22" s="886"/>
      <c r="AF22" s="887" t="s">
        <v>805</v>
      </c>
      <c r="AG22" s="906">
        <v>0</v>
      </c>
      <c r="AH22" s="687">
        <f>VLOOKUP(AF22,Düngemittel!$B$6:$E$64,2,FALSE)*(VLOOKUP(AF22,Düngemittel!$B$6:$E$64,3,FALSE))/100*AG22</f>
        <v>0</v>
      </c>
      <c r="AI22" s="687">
        <f>VLOOKUP(AF22,Düngemittel!$B$6:$E$64,2,FALSE)*AG22</f>
        <v>0</v>
      </c>
      <c r="AJ22" s="687">
        <f>VLOOKUP(AF22,Düngemittel!$B$6:$E$64,4,FALSE)*AG22</f>
        <v>0</v>
      </c>
      <c r="AL22" s="886"/>
      <c r="AM22" s="887" t="s">
        <v>805</v>
      </c>
      <c r="AN22" s="906">
        <v>0</v>
      </c>
      <c r="AO22" s="687">
        <f>VLOOKUP(AM22,Düngemittel!$B$6:$E$64,2,FALSE)*(VLOOKUP(AM22,Düngemittel!$B$6:$E$64,3,FALSE))/100*AN22</f>
        <v>0</v>
      </c>
      <c r="AP22" s="687">
        <f>VLOOKUP(AM22,Düngemittel!$B$6:$E$64,2,FALSE)*AN22</f>
        <v>0</v>
      </c>
      <c r="AQ22" s="687">
        <f>VLOOKUP(AM22,Düngemittel!$B$6:$E$64,4,FALSE)*AN22</f>
        <v>0</v>
      </c>
      <c r="AS22" s="886"/>
      <c r="AT22" s="887" t="s">
        <v>805</v>
      </c>
      <c r="AU22" s="906">
        <v>0</v>
      </c>
      <c r="AV22" s="687">
        <f>VLOOKUP(AT22,Düngemittel!$B$6:$E$64,2,FALSE)*(VLOOKUP(AT22,Düngemittel!$B$6:$E$64,3,FALSE))/100*AU22</f>
        <v>0</v>
      </c>
      <c r="AW22" s="687">
        <f>VLOOKUP(AT22,Düngemittel!$B$6:$E$64,2,FALSE)*AU22</f>
        <v>0</v>
      </c>
      <c r="AX22" s="687">
        <f>VLOOKUP(AT22,Düngemittel!$B$6:$E$64,4,FALSE)*AU22</f>
        <v>0</v>
      </c>
      <c r="AZ22" s="886"/>
      <c r="BA22" s="887" t="s">
        <v>805</v>
      </c>
      <c r="BB22" s="906">
        <v>0</v>
      </c>
      <c r="BC22" s="687">
        <f>VLOOKUP(BA22,Düngemittel!$B$6:$E$64,2,FALSE)*(VLOOKUP(BA22,Düngemittel!$B$6:$E$64,3,FALSE))/100*BB22</f>
        <v>0</v>
      </c>
      <c r="BD22" s="687">
        <f>VLOOKUP(BA22,Düngemittel!$B$6:$E$64,2,FALSE)*BB22</f>
        <v>0</v>
      </c>
      <c r="BE22" s="687">
        <f>VLOOKUP(BA22,Düngemittel!$B$6:$E$64,4,FALSE)*BB22</f>
        <v>0</v>
      </c>
      <c r="BG22" s="853">
        <f t="shared" si="17"/>
        <v>0</v>
      </c>
      <c r="BH22" s="308">
        <f t="shared" si="18"/>
        <v>0</v>
      </c>
      <c r="BI22" s="853">
        <f t="shared" si="18"/>
        <v>0</v>
      </c>
      <c r="BJ22" s="777">
        <f t="shared" si="19"/>
        <v>0</v>
      </c>
      <c r="BK22" s="308">
        <f t="shared" si="20"/>
        <v>0</v>
      </c>
      <c r="BL22" s="83"/>
      <c r="BM22" s="686">
        <f t="shared" si="21"/>
        <v>0</v>
      </c>
      <c r="BN22" s="686">
        <f t="shared" si="10"/>
        <v>0</v>
      </c>
      <c r="BO22" s="686">
        <f t="shared" si="10"/>
        <v>0</v>
      </c>
      <c r="BP22" s="686">
        <f t="shared" si="10"/>
        <v>0</v>
      </c>
      <c r="BQ22" s="686">
        <f t="shared" si="10"/>
        <v>0</v>
      </c>
      <c r="BT22" s="351">
        <f t="shared" si="11"/>
        <v>0</v>
      </c>
      <c r="BU22" s="351">
        <f t="shared" si="12"/>
        <v>0</v>
      </c>
      <c r="BW22" s="240" t="s">
        <v>704</v>
      </c>
      <c r="BX22" s="240">
        <v>40</v>
      </c>
      <c r="BY22" s="240">
        <v>60</v>
      </c>
      <c r="BZ22" s="240">
        <v>0</v>
      </c>
      <c r="CA22" s="240">
        <v>0</v>
      </c>
      <c r="CB22" s="393">
        <v>30</v>
      </c>
      <c r="CC22" s="393">
        <v>1.2</v>
      </c>
      <c r="CD22" s="352">
        <f t="shared" si="0"/>
        <v>48</v>
      </c>
      <c r="CE22" s="9"/>
      <c r="CF22" s="3"/>
    </row>
    <row r="23" spans="1:84" ht="26.25" customHeight="1" x14ac:dyDescent="0.25">
      <c r="A23" s="342"/>
      <c r="B23" s="1215"/>
      <c r="C23" s="600" t="s">
        <v>31</v>
      </c>
      <c r="D23" s="408">
        <f t="shared" si="1"/>
        <v>0</v>
      </c>
      <c r="E23" s="427">
        <f t="shared" si="2"/>
        <v>0</v>
      </c>
      <c r="F23" s="1206"/>
      <c r="G23" s="413">
        <f t="shared" si="3"/>
        <v>0</v>
      </c>
      <c r="H23" s="602" t="s">
        <v>510</v>
      </c>
      <c r="I23" s="427">
        <f t="shared" si="4"/>
        <v>0</v>
      </c>
      <c r="J23" s="430" t="s">
        <v>31</v>
      </c>
      <c r="K23" s="606">
        <f t="shared" si="5"/>
        <v>0</v>
      </c>
      <c r="L23" s="408">
        <f t="shared" si="6"/>
        <v>0</v>
      </c>
      <c r="M23" s="1209"/>
      <c r="N23" s="450" t="s">
        <v>160</v>
      </c>
      <c r="O23" s="427">
        <f t="shared" si="7"/>
        <v>0</v>
      </c>
      <c r="P23" s="1212"/>
      <c r="Q23" s="747">
        <f t="shared" si="13"/>
        <v>0</v>
      </c>
      <c r="R23" s="608">
        <f t="shared" si="8"/>
        <v>0</v>
      </c>
      <c r="S23" s="479">
        <f t="shared" si="9"/>
        <v>0</v>
      </c>
      <c r="T23" s="435">
        <f t="shared" si="14"/>
        <v>0</v>
      </c>
      <c r="V23" s="852">
        <f t="shared" si="15"/>
        <v>0</v>
      </c>
      <c r="W23" s="852" t="str">
        <f t="shared" si="16"/>
        <v>keine</v>
      </c>
      <c r="X23" s="886"/>
      <c r="Y23" s="887" t="s">
        <v>805</v>
      </c>
      <c r="Z23" s="906">
        <v>0</v>
      </c>
      <c r="AA23" s="687">
        <f>VLOOKUP(Y23,Düngemittel!$B$6:$E$64,2,FALSE)*(VLOOKUP(Y23,Düngemittel!$B$6:$E$64,3,FALSE))/100*Z23</f>
        <v>0</v>
      </c>
      <c r="AB23" s="687">
        <f>VLOOKUP(Y23,Düngemittel!$B$6:$E$64,2,FALSE)*Z23</f>
        <v>0</v>
      </c>
      <c r="AC23" s="687">
        <f>VLOOKUP(Y23,Düngemittel!$B$6:$E$64,4,FALSE)*Z23</f>
        <v>0</v>
      </c>
      <c r="AE23" s="886"/>
      <c r="AF23" s="887" t="s">
        <v>805</v>
      </c>
      <c r="AG23" s="906">
        <v>0</v>
      </c>
      <c r="AH23" s="687">
        <f>VLOOKUP(AF23,Düngemittel!$B$6:$E$64,2,FALSE)*(VLOOKUP(AF23,Düngemittel!$B$6:$E$64,3,FALSE))/100*AG23</f>
        <v>0</v>
      </c>
      <c r="AI23" s="687">
        <f>VLOOKUP(AF23,Düngemittel!$B$6:$E$64,2,FALSE)*AG23</f>
        <v>0</v>
      </c>
      <c r="AJ23" s="687">
        <f>VLOOKUP(AF23,Düngemittel!$B$6:$E$64,4,FALSE)*AG23</f>
        <v>0</v>
      </c>
      <c r="AL23" s="886"/>
      <c r="AM23" s="887" t="s">
        <v>805</v>
      </c>
      <c r="AN23" s="906">
        <v>0</v>
      </c>
      <c r="AO23" s="687">
        <f>VLOOKUP(AM23,Düngemittel!$B$6:$E$64,2,FALSE)*(VLOOKUP(AM23,Düngemittel!$B$6:$E$64,3,FALSE))/100*AN23</f>
        <v>0</v>
      </c>
      <c r="AP23" s="687">
        <f>VLOOKUP(AM23,Düngemittel!$B$6:$E$64,2,FALSE)*AN23</f>
        <v>0</v>
      </c>
      <c r="AQ23" s="687">
        <f>VLOOKUP(AM23,Düngemittel!$B$6:$E$64,4,FALSE)*AN23</f>
        <v>0</v>
      </c>
      <c r="AS23" s="886"/>
      <c r="AT23" s="887" t="s">
        <v>805</v>
      </c>
      <c r="AU23" s="906">
        <v>0</v>
      </c>
      <c r="AV23" s="687">
        <f>VLOOKUP(AT23,Düngemittel!$B$6:$E$64,2,FALSE)*(VLOOKUP(AT23,Düngemittel!$B$6:$E$64,3,FALSE))/100*AU23</f>
        <v>0</v>
      </c>
      <c r="AW23" s="687">
        <f>VLOOKUP(AT23,Düngemittel!$B$6:$E$64,2,FALSE)*AU23</f>
        <v>0</v>
      </c>
      <c r="AX23" s="687">
        <f>VLOOKUP(AT23,Düngemittel!$B$6:$E$64,4,FALSE)*AU23</f>
        <v>0</v>
      </c>
      <c r="AZ23" s="886"/>
      <c r="BA23" s="887" t="s">
        <v>805</v>
      </c>
      <c r="BB23" s="906">
        <v>0</v>
      </c>
      <c r="BC23" s="687">
        <f>VLOOKUP(BA23,Düngemittel!$B$6:$E$64,2,FALSE)*(VLOOKUP(BA23,Düngemittel!$B$6:$E$64,3,FALSE))/100*BB23</f>
        <v>0</v>
      </c>
      <c r="BD23" s="687">
        <f>VLOOKUP(BA23,Düngemittel!$B$6:$E$64,2,FALSE)*BB23</f>
        <v>0</v>
      </c>
      <c r="BE23" s="687">
        <f>VLOOKUP(BA23,Düngemittel!$B$6:$E$64,4,FALSE)*BB23</f>
        <v>0</v>
      </c>
      <c r="BG23" s="853">
        <f t="shared" si="17"/>
        <v>0</v>
      </c>
      <c r="BH23" s="308">
        <f t="shared" si="18"/>
        <v>0</v>
      </c>
      <c r="BI23" s="853">
        <f t="shared" si="18"/>
        <v>0</v>
      </c>
      <c r="BJ23" s="777">
        <f t="shared" si="19"/>
        <v>0</v>
      </c>
      <c r="BK23" s="308">
        <f t="shared" si="20"/>
        <v>0</v>
      </c>
      <c r="BL23" s="83"/>
      <c r="BM23" s="686">
        <f t="shared" si="21"/>
        <v>0</v>
      </c>
      <c r="BN23" s="686">
        <f t="shared" si="10"/>
        <v>0</v>
      </c>
      <c r="BO23" s="686">
        <f t="shared" si="10"/>
        <v>0</v>
      </c>
      <c r="BP23" s="686">
        <f t="shared" si="10"/>
        <v>0</v>
      </c>
      <c r="BQ23" s="686">
        <f t="shared" si="10"/>
        <v>0</v>
      </c>
      <c r="BT23" s="351">
        <f t="shared" si="11"/>
        <v>0</v>
      </c>
      <c r="BU23" s="351">
        <f t="shared" si="12"/>
        <v>0</v>
      </c>
      <c r="BW23" s="124" t="s">
        <v>695</v>
      </c>
      <c r="BX23" s="124">
        <v>90</v>
      </c>
      <c r="BY23" s="124">
        <v>200</v>
      </c>
      <c r="BZ23" s="124">
        <v>1</v>
      </c>
      <c r="CA23" s="124">
        <v>1.5</v>
      </c>
      <c r="CB23" s="641">
        <v>90</v>
      </c>
      <c r="CC23" s="393">
        <v>0.8</v>
      </c>
      <c r="CD23" s="352">
        <f t="shared" si="0"/>
        <v>72</v>
      </c>
    </row>
    <row r="24" spans="1:84" ht="26.25" customHeight="1" x14ac:dyDescent="0.25">
      <c r="A24" s="342"/>
      <c r="B24" s="1215"/>
      <c r="C24" s="600" t="s">
        <v>31</v>
      </c>
      <c r="D24" s="408">
        <f t="shared" si="1"/>
        <v>0</v>
      </c>
      <c r="E24" s="427">
        <f t="shared" si="2"/>
        <v>0</v>
      </c>
      <c r="F24" s="1206"/>
      <c r="G24" s="413">
        <f t="shared" si="3"/>
        <v>0</v>
      </c>
      <c r="H24" s="602" t="s">
        <v>510</v>
      </c>
      <c r="I24" s="427">
        <f t="shared" si="4"/>
        <v>0</v>
      </c>
      <c r="J24" s="430" t="s">
        <v>31</v>
      </c>
      <c r="K24" s="606">
        <f t="shared" si="5"/>
        <v>0</v>
      </c>
      <c r="L24" s="408">
        <f t="shared" si="6"/>
        <v>0</v>
      </c>
      <c r="M24" s="1209"/>
      <c r="N24" s="450" t="s">
        <v>160</v>
      </c>
      <c r="O24" s="427">
        <f t="shared" si="7"/>
        <v>0</v>
      </c>
      <c r="P24" s="1212"/>
      <c r="Q24" s="747">
        <f t="shared" si="13"/>
        <v>0</v>
      </c>
      <c r="R24" s="608">
        <f t="shared" si="8"/>
        <v>0</v>
      </c>
      <c r="S24" s="479">
        <f t="shared" si="9"/>
        <v>0</v>
      </c>
      <c r="T24" s="435">
        <f t="shared" si="14"/>
        <v>0</v>
      </c>
      <c r="V24" s="852">
        <f t="shared" si="15"/>
        <v>0</v>
      </c>
      <c r="W24" s="852" t="str">
        <f t="shared" si="16"/>
        <v>keine</v>
      </c>
      <c r="X24" s="886"/>
      <c r="Y24" s="887" t="s">
        <v>805</v>
      </c>
      <c r="Z24" s="906">
        <v>0</v>
      </c>
      <c r="AA24" s="687">
        <f>VLOOKUP(Y24,Düngemittel!$B$6:$E$64,2,FALSE)*(VLOOKUP(Y24,Düngemittel!$B$6:$E$64,3,FALSE))/100*Z24</f>
        <v>0</v>
      </c>
      <c r="AB24" s="687">
        <f>VLOOKUP(Y24,Düngemittel!$B$6:$E$64,2,FALSE)*Z24</f>
        <v>0</v>
      </c>
      <c r="AC24" s="687">
        <f>VLOOKUP(Y24,Düngemittel!$B$6:$E$64,4,FALSE)*Z24</f>
        <v>0</v>
      </c>
      <c r="AE24" s="886"/>
      <c r="AF24" s="887" t="s">
        <v>805</v>
      </c>
      <c r="AG24" s="906">
        <v>0</v>
      </c>
      <c r="AH24" s="687">
        <f>VLOOKUP(AF24,Düngemittel!$B$6:$E$64,2,FALSE)*(VLOOKUP(AF24,Düngemittel!$B$6:$E$64,3,FALSE))/100*AG24</f>
        <v>0</v>
      </c>
      <c r="AI24" s="687">
        <f>VLOOKUP(AF24,Düngemittel!$B$6:$E$64,2,FALSE)*AG24</f>
        <v>0</v>
      </c>
      <c r="AJ24" s="687">
        <f>VLOOKUP(AF24,Düngemittel!$B$6:$E$64,4,FALSE)*AG24</f>
        <v>0</v>
      </c>
      <c r="AL24" s="886"/>
      <c r="AM24" s="887" t="s">
        <v>805</v>
      </c>
      <c r="AN24" s="906">
        <v>0</v>
      </c>
      <c r="AO24" s="687">
        <f>VLOOKUP(AM24,Düngemittel!$B$6:$E$64,2,FALSE)*(VLOOKUP(AM24,Düngemittel!$B$6:$E$64,3,FALSE))/100*AN24</f>
        <v>0</v>
      </c>
      <c r="AP24" s="687">
        <f>VLOOKUP(AM24,Düngemittel!$B$6:$E$64,2,FALSE)*AN24</f>
        <v>0</v>
      </c>
      <c r="AQ24" s="687">
        <f>VLOOKUP(AM24,Düngemittel!$B$6:$E$64,4,FALSE)*AN24</f>
        <v>0</v>
      </c>
      <c r="AS24" s="886"/>
      <c r="AT24" s="887" t="s">
        <v>805</v>
      </c>
      <c r="AU24" s="906">
        <v>0</v>
      </c>
      <c r="AV24" s="687">
        <f>VLOOKUP(AT24,Düngemittel!$B$6:$E$64,2,FALSE)*(VLOOKUP(AT24,Düngemittel!$B$6:$E$64,3,FALSE))/100*AU24</f>
        <v>0</v>
      </c>
      <c r="AW24" s="687">
        <f>VLOOKUP(AT24,Düngemittel!$B$6:$E$64,2,FALSE)*AU24</f>
        <v>0</v>
      </c>
      <c r="AX24" s="687">
        <f>VLOOKUP(AT24,Düngemittel!$B$6:$E$64,4,FALSE)*AU24</f>
        <v>0</v>
      </c>
      <c r="AZ24" s="886"/>
      <c r="BA24" s="887" t="s">
        <v>805</v>
      </c>
      <c r="BB24" s="906">
        <v>0</v>
      </c>
      <c r="BC24" s="687">
        <f>VLOOKUP(BA24,Düngemittel!$B$6:$E$64,2,FALSE)*(VLOOKUP(BA24,Düngemittel!$B$6:$E$64,3,FALSE))/100*BB24</f>
        <v>0</v>
      </c>
      <c r="BD24" s="687">
        <f>VLOOKUP(BA24,Düngemittel!$B$6:$E$64,2,FALSE)*BB24</f>
        <v>0</v>
      </c>
      <c r="BE24" s="687">
        <f>VLOOKUP(BA24,Düngemittel!$B$6:$E$64,4,FALSE)*BB24</f>
        <v>0</v>
      </c>
      <c r="BG24" s="853">
        <f t="shared" si="17"/>
        <v>0</v>
      </c>
      <c r="BH24" s="308">
        <f t="shared" si="18"/>
        <v>0</v>
      </c>
      <c r="BI24" s="853">
        <f t="shared" si="18"/>
        <v>0</v>
      </c>
      <c r="BJ24" s="777">
        <f t="shared" si="19"/>
        <v>0</v>
      </c>
      <c r="BK24" s="308">
        <f t="shared" si="20"/>
        <v>0</v>
      </c>
      <c r="BL24" s="83"/>
      <c r="BM24" s="686">
        <f t="shared" si="21"/>
        <v>0</v>
      </c>
      <c r="BN24" s="686">
        <f t="shared" si="21"/>
        <v>0</v>
      </c>
      <c r="BO24" s="686">
        <f t="shared" si="21"/>
        <v>0</v>
      </c>
      <c r="BP24" s="686">
        <f t="shared" si="21"/>
        <v>0</v>
      </c>
      <c r="BQ24" s="686">
        <f t="shared" si="21"/>
        <v>0</v>
      </c>
      <c r="BT24" s="351">
        <f t="shared" si="11"/>
        <v>0</v>
      </c>
      <c r="BU24" s="351">
        <f t="shared" si="12"/>
        <v>0</v>
      </c>
      <c r="BW24" s="124" t="s">
        <v>479</v>
      </c>
      <c r="BX24" s="124">
        <v>400</v>
      </c>
      <c r="BY24" s="124">
        <v>140</v>
      </c>
      <c r="BZ24" s="124">
        <v>0.25</v>
      </c>
      <c r="CA24" s="124">
        <v>0.25</v>
      </c>
      <c r="CB24" s="641">
        <v>60</v>
      </c>
      <c r="CC24" s="393">
        <v>0.21</v>
      </c>
      <c r="CD24" s="352">
        <f t="shared" si="0"/>
        <v>84</v>
      </c>
    </row>
    <row r="25" spans="1:84" ht="26.25" customHeight="1" x14ac:dyDescent="0.25">
      <c r="A25" s="342"/>
      <c r="B25" s="1215"/>
      <c r="C25" s="600" t="s">
        <v>31</v>
      </c>
      <c r="D25" s="408">
        <f t="shared" si="1"/>
        <v>0</v>
      </c>
      <c r="E25" s="427">
        <f t="shared" si="2"/>
        <v>0</v>
      </c>
      <c r="F25" s="1206"/>
      <c r="G25" s="413">
        <f t="shared" si="3"/>
        <v>0</v>
      </c>
      <c r="H25" s="602" t="s">
        <v>510</v>
      </c>
      <c r="I25" s="427">
        <f t="shared" si="4"/>
        <v>0</v>
      </c>
      <c r="J25" s="430" t="s">
        <v>31</v>
      </c>
      <c r="K25" s="606">
        <f t="shared" si="5"/>
        <v>0</v>
      </c>
      <c r="L25" s="408">
        <f t="shared" si="6"/>
        <v>0</v>
      </c>
      <c r="M25" s="1209"/>
      <c r="N25" s="450" t="s">
        <v>160</v>
      </c>
      <c r="O25" s="427">
        <f t="shared" si="7"/>
        <v>0</v>
      </c>
      <c r="P25" s="1212"/>
      <c r="Q25" s="747">
        <f t="shared" si="13"/>
        <v>0</v>
      </c>
      <c r="R25" s="608">
        <f t="shared" si="8"/>
        <v>0</v>
      </c>
      <c r="S25" s="479">
        <f t="shared" si="9"/>
        <v>0</v>
      </c>
      <c r="T25" s="435">
        <f t="shared" si="14"/>
        <v>0</v>
      </c>
      <c r="V25" s="852">
        <f t="shared" si="15"/>
        <v>0</v>
      </c>
      <c r="W25" s="852" t="str">
        <f t="shared" si="16"/>
        <v>keine</v>
      </c>
      <c r="X25" s="886"/>
      <c r="Y25" s="887" t="s">
        <v>805</v>
      </c>
      <c r="Z25" s="906">
        <v>0</v>
      </c>
      <c r="AA25" s="687">
        <f>VLOOKUP(Y25,Düngemittel!$B$6:$E$64,2,FALSE)*(VLOOKUP(Y25,Düngemittel!$B$6:$E$64,3,FALSE))/100*Z25</f>
        <v>0</v>
      </c>
      <c r="AB25" s="687">
        <f>VLOOKUP(Y25,Düngemittel!$B$6:$E$64,2,FALSE)*Z25</f>
        <v>0</v>
      </c>
      <c r="AC25" s="687">
        <f>VLOOKUP(Y25,Düngemittel!$B$6:$E$64,4,FALSE)*Z25</f>
        <v>0</v>
      </c>
      <c r="AE25" s="886"/>
      <c r="AF25" s="887" t="s">
        <v>805</v>
      </c>
      <c r="AG25" s="906">
        <v>0</v>
      </c>
      <c r="AH25" s="687">
        <f>VLOOKUP(AF25,Düngemittel!$B$6:$E$64,2,FALSE)*(VLOOKUP(AF25,Düngemittel!$B$6:$E$64,3,FALSE))/100*AG25</f>
        <v>0</v>
      </c>
      <c r="AI25" s="687">
        <f>VLOOKUP(AF25,Düngemittel!$B$6:$E$64,2,FALSE)*AG25</f>
        <v>0</v>
      </c>
      <c r="AJ25" s="687">
        <f>VLOOKUP(AF25,Düngemittel!$B$6:$E$64,4,FALSE)*AG25</f>
        <v>0</v>
      </c>
      <c r="AL25" s="886"/>
      <c r="AM25" s="887" t="s">
        <v>805</v>
      </c>
      <c r="AN25" s="906">
        <v>0</v>
      </c>
      <c r="AO25" s="687">
        <f>VLOOKUP(AM25,Düngemittel!$B$6:$E$64,2,FALSE)*(VLOOKUP(AM25,Düngemittel!$B$6:$E$64,3,FALSE))/100*AN25</f>
        <v>0</v>
      </c>
      <c r="AP25" s="687">
        <f>VLOOKUP(AM25,Düngemittel!$B$6:$E$64,2,FALSE)*AN25</f>
        <v>0</v>
      </c>
      <c r="AQ25" s="687">
        <f>VLOOKUP(AM25,Düngemittel!$B$6:$E$64,4,FALSE)*AN25</f>
        <v>0</v>
      </c>
      <c r="AS25" s="886"/>
      <c r="AT25" s="887" t="s">
        <v>805</v>
      </c>
      <c r="AU25" s="906">
        <v>0</v>
      </c>
      <c r="AV25" s="687">
        <f>VLOOKUP(AT25,Düngemittel!$B$6:$E$64,2,FALSE)*(VLOOKUP(AT25,Düngemittel!$B$6:$E$64,3,FALSE))/100*AU25</f>
        <v>0</v>
      </c>
      <c r="AW25" s="687">
        <f>VLOOKUP(AT25,Düngemittel!$B$6:$E$64,2,FALSE)*AU25</f>
        <v>0</v>
      </c>
      <c r="AX25" s="687">
        <f>VLOOKUP(AT25,Düngemittel!$B$6:$E$64,4,FALSE)*AU25</f>
        <v>0</v>
      </c>
      <c r="AZ25" s="886"/>
      <c r="BA25" s="887" t="s">
        <v>805</v>
      </c>
      <c r="BB25" s="906">
        <v>0</v>
      </c>
      <c r="BC25" s="687">
        <f>VLOOKUP(BA25,Düngemittel!$B$6:$E$64,2,FALSE)*(VLOOKUP(BA25,Düngemittel!$B$6:$E$64,3,FALSE))/100*BB25</f>
        <v>0</v>
      </c>
      <c r="BD25" s="687">
        <f>VLOOKUP(BA25,Düngemittel!$B$6:$E$64,2,FALSE)*BB25</f>
        <v>0</v>
      </c>
      <c r="BE25" s="687">
        <f>VLOOKUP(BA25,Düngemittel!$B$6:$E$64,4,FALSE)*BB25</f>
        <v>0</v>
      </c>
      <c r="BG25" s="853">
        <f t="shared" si="17"/>
        <v>0</v>
      </c>
      <c r="BH25" s="308">
        <f t="shared" si="18"/>
        <v>0</v>
      </c>
      <c r="BI25" s="853">
        <f t="shared" si="18"/>
        <v>0</v>
      </c>
      <c r="BJ25" s="777">
        <f t="shared" si="19"/>
        <v>0</v>
      </c>
      <c r="BK25" s="308">
        <f t="shared" si="20"/>
        <v>0</v>
      </c>
      <c r="BL25" s="83"/>
      <c r="BM25" s="686">
        <f t="shared" si="21"/>
        <v>0</v>
      </c>
      <c r="BN25" s="686">
        <f t="shared" si="21"/>
        <v>0</v>
      </c>
      <c r="BO25" s="686">
        <f t="shared" si="21"/>
        <v>0</v>
      </c>
      <c r="BP25" s="686">
        <f t="shared" si="21"/>
        <v>0</v>
      </c>
      <c r="BQ25" s="686">
        <f t="shared" si="21"/>
        <v>0</v>
      </c>
      <c r="BT25" s="351">
        <f t="shared" si="11"/>
        <v>0</v>
      </c>
      <c r="BU25" s="351">
        <f t="shared" si="12"/>
        <v>0</v>
      </c>
      <c r="BW25" s="240" t="s">
        <v>705</v>
      </c>
      <c r="BX25" s="240">
        <v>20</v>
      </c>
      <c r="BY25" s="594">
        <v>110</v>
      </c>
      <c r="BZ25" s="594">
        <v>2</v>
      </c>
      <c r="CA25" s="594">
        <v>3</v>
      </c>
      <c r="CB25" s="641">
        <v>60</v>
      </c>
      <c r="CC25" s="393">
        <v>2</v>
      </c>
      <c r="CD25" s="352">
        <f t="shared" si="0"/>
        <v>40</v>
      </c>
    </row>
    <row r="26" spans="1:84" ht="26.25" customHeight="1" x14ac:dyDescent="0.25">
      <c r="A26" s="342"/>
      <c r="B26" s="1215"/>
      <c r="C26" s="600" t="s">
        <v>31</v>
      </c>
      <c r="D26" s="408">
        <f t="shared" si="1"/>
        <v>0</v>
      </c>
      <c r="E26" s="427">
        <f t="shared" si="2"/>
        <v>0</v>
      </c>
      <c r="F26" s="1206"/>
      <c r="G26" s="413">
        <f t="shared" si="3"/>
        <v>0</v>
      </c>
      <c r="H26" s="602" t="s">
        <v>510</v>
      </c>
      <c r="I26" s="427">
        <f t="shared" si="4"/>
        <v>0</v>
      </c>
      <c r="J26" s="430" t="s">
        <v>31</v>
      </c>
      <c r="K26" s="606">
        <f t="shared" si="5"/>
        <v>0</v>
      </c>
      <c r="L26" s="408">
        <f t="shared" si="6"/>
        <v>0</v>
      </c>
      <c r="M26" s="1209"/>
      <c r="N26" s="450" t="s">
        <v>160</v>
      </c>
      <c r="O26" s="427">
        <f t="shared" si="7"/>
        <v>0</v>
      </c>
      <c r="P26" s="1212"/>
      <c r="Q26" s="747">
        <f t="shared" si="13"/>
        <v>0</v>
      </c>
      <c r="R26" s="608">
        <f t="shared" si="8"/>
        <v>0</v>
      </c>
      <c r="S26" s="479">
        <f t="shared" si="9"/>
        <v>0</v>
      </c>
      <c r="T26" s="435">
        <f t="shared" si="14"/>
        <v>0</v>
      </c>
      <c r="V26" s="852">
        <f t="shared" si="15"/>
        <v>0</v>
      </c>
      <c r="W26" s="852" t="str">
        <f t="shared" si="16"/>
        <v>keine</v>
      </c>
      <c r="X26" s="886"/>
      <c r="Y26" s="887" t="s">
        <v>805</v>
      </c>
      <c r="Z26" s="906">
        <v>0</v>
      </c>
      <c r="AA26" s="687">
        <f>VLOOKUP(Y26,Düngemittel!$B$6:$E$64,2,FALSE)*(VLOOKUP(Y26,Düngemittel!$B$6:$E$64,3,FALSE))/100*Z26</f>
        <v>0</v>
      </c>
      <c r="AB26" s="687">
        <f>VLOOKUP(Y26,Düngemittel!$B$6:$E$64,2,FALSE)*Z26</f>
        <v>0</v>
      </c>
      <c r="AC26" s="687">
        <f>VLOOKUP(Y26,Düngemittel!$B$6:$E$64,4,FALSE)*Z26</f>
        <v>0</v>
      </c>
      <c r="AE26" s="886"/>
      <c r="AF26" s="887" t="s">
        <v>805</v>
      </c>
      <c r="AG26" s="906">
        <v>0</v>
      </c>
      <c r="AH26" s="687">
        <f>VLOOKUP(AF26,Düngemittel!$B$6:$E$64,2,FALSE)*(VLOOKUP(AF26,Düngemittel!$B$6:$E$64,3,FALSE))/100*AG26</f>
        <v>0</v>
      </c>
      <c r="AI26" s="687">
        <f>VLOOKUP(AF26,Düngemittel!$B$6:$E$64,2,FALSE)*AG26</f>
        <v>0</v>
      </c>
      <c r="AJ26" s="687">
        <f>VLOOKUP(AF26,Düngemittel!$B$6:$E$64,4,FALSE)*AG26</f>
        <v>0</v>
      </c>
      <c r="AL26" s="886"/>
      <c r="AM26" s="887" t="s">
        <v>805</v>
      </c>
      <c r="AN26" s="906">
        <v>0</v>
      </c>
      <c r="AO26" s="687">
        <f>VLOOKUP(AM26,Düngemittel!$B$6:$E$64,2,FALSE)*(VLOOKUP(AM26,Düngemittel!$B$6:$E$64,3,FALSE))/100*AN26</f>
        <v>0</v>
      </c>
      <c r="AP26" s="687">
        <f>VLOOKUP(AM26,Düngemittel!$B$6:$E$64,2,FALSE)*AN26</f>
        <v>0</v>
      </c>
      <c r="AQ26" s="687">
        <f>VLOOKUP(AM26,Düngemittel!$B$6:$E$64,4,FALSE)*AN26</f>
        <v>0</v>
      </c>
      <c r="AS26" s="886"/>
      <c r="AT26" s="887" t="s">
        <v>805</v>
      </c>
      <c r="AU26" s="906">
        <v>0</v>
      </c>
      <c r="AV26" s="687">
        <f>VLOOKUP(AT26,Düngemittel!$B$6:$E$64,2,FALSE)*(VLOOKUP(AT26,Düngemittel!$B$6:$E$64,3,FALSE))/100*AU26</f>
        <v>0</v>
      </c>
      <c r="AW26" s="687">
        <f>VLOOKUP(AT26,Düngemittel!$B$6:$E$64,2,FALSE)*AU26</f>
        <v>0</v>
      </c>
      <c r="AX26" s="687">
        <f>VLOOKUP(AT26,Düngemittel!$B$6:$E$64,4,FALSE)*AU26</f>
        <v>0</v>
      </c>
      <c r="AZ26" s="886"/>
      <c r="BA26" s="887" t="s">
        <v>805</v>
      </c>
      <c r="BB26" s="906">
        <v>0</v>
      </c>
      <c r="BC26" s="687">
        <f>VLOOKUP(BA26,Düngemittel!$B$6:$E$64,2,FALSE)*(VLOOKUP(BA26,Düngemittel!$B$6:$E$64,3,FALSE))/100*BB26</f>
        <v>0</v>
      </c>
      <c r="BD26" s="687">
        <f>VLOOKUP(BA26,Düngemittel!$B$6:$E$64,2,FALSE)*BB26</f>
        <v>0</v>
      </c>
      <c r="BE26" s="687">
        <f>VLOOKUP(BA26,Düngemittel!$B$6:$E$64,4,FALSE)*BB26</f>
        <v>0</v>
      </c>
      <c r="BG26" s="853">
        <f t="shared" si="17"/>
        <v>0</v>
      </c>
      <c r="BH26" s="308">
        <f t="shared" si="18"/>
        <v>0</v>
      </c>
      <c r="BI26" s="853">
        <f t="shared" si="18"/>
        <v>0</v>
      </c>
      <c r="BJ26" s="777">
        <f t="shared" si="19"/>
        <v>0</v>
      </c>
      <c r="BK26" s="308">
        <f t="shared" si="20"/>
        <v>0</v>
      </c>
      <c r="BL26" s="83"/>
      <c r="BM26" s="686">
        <f t="shared" si="21"/>
        <v>0</v>
      </c>
      <c r="BN26" s="686">
        <f t="shared" si="21"/>
        <v>0</v>
      </c>
      <c r="BO26" s="686">
        <f t="shared" si="21"/>
        <v>0</v>
      </c>
      <c r="BP26" s="686">
        <f t="shared" si="21"/>
        <v>0</v>
      </c>
      <c r="BQ26" s="686">
        <f t="shared" si="21"/>
        <v>0</v>
      </c>
      <c r="BT26" s="351">
        <f t="shared" si="11"/>
        <v>0</v>
      </c>
      <c r="BU26" s="351">
        <f t="shared" si="12"/>
        <v>0</v>
      </c>
      <c r="BV26" s="126"/>
      <c r="BW26" s="240" t="s">
        <v>763</v>
      </c>
      <c r="BX26" s="240">
        <v>850</v>
      </c>
      <c r="BY26" s="594">
        <v>220</v>
      </c>
      <c r="BZ26" s="595">
        <v>0.18</v>
      </c>
      <c r="CA26" s="595">
        <v>0.22</v>
      </c>
      <c r="CB26" s="641">
        <v>90</v>
      </c>
      <c r="CC26" s="393">
        <v>7.0000000000000007E-2</v>
      </c>
      <c r="CD26" s="352">
        <f t="shared" si="0"/>
        <v>59.500000000000007</v>
      </c>
    </row>
    <row r="27" spans="1:84" ht="26.25" customHeight="1" x14ac:dyDescent="0.25">
      <c r="A27" s="342"/>
      <c r="B27" s="1215"/>
      <c r="C27" s="600" t="s">
        <v>31</v>
      </c>
      <c r="D27" s="408">
        <f t="shared" si="1"/>
        <v>0</v>
      </c>
      <c r="E27" s="427">
        <f t="shared" si="2"/>
        <v>0</v>
      </c>
      <c r="F27" s="1206"/>
      <c r="G27" s="413">
        <f t="shared" si="3"/>
        <v>0</v>
      </c>
      <c r="H27" s="602" t="s">
        <v>510</v>
      </c>
      <c r="I27" s="427">
        <f t="shared" si="4"/>
        <v>0</v>
      </c>
      <c r="J27" s="430" t="s">
        <v>31</v>
      </c>
      <c r="K27" s="606">
        <f t="shared" si="5"/>
        <v>0</v>
      </c>
      <c r="L27" s="408">
        <f t="shared" si="6"/>
        <v>0</v>
      </c>
      <c r="M27" s="1209"/>
      <c r="N27" s="450" t="s">
        <v>160</v>
      </c>
      <c r="O27" s="427">
        <f t="shared" si="7"/>
        <v>0</v>
      </c>
      <c r="P27" s="1212"/>
      <c r="Q27" s="747">
        <f t="shared" si="13"/>
        <v>0</v>
      </c>
      <c r="R27" s="608">
        <f t="shared" si="8"/>
        <v>0</v>
      </c>
      <c r="S27" s="479">
        <f t="shared" si="9"/>
        <v>0</v>
      </c>
      <c r="T27" s="435">
        <f t="shared" si="14"/>
        <v>0</v>
      </c>
      <c r="V27" s="852">
        <f t="shared" si="15"/>
        <v>0</v>
      </c>
      <c r="W27" s="852" t="str">
        <f t="shared" si="16"/>
        <v>keine</v>
      </c>
      <c r="X27" s="886"/>
      <c r="Y27" s="887" t="s">
        <v>805</v>
      </c>
      <c r="Z27" s="906">
        <v>0</v>
      </c>
      <c r="AA27" s="687">
        <f>VLOOKUP(Y27,Düngemittel!$B$6:$E$64,2,FALSE)*(VLOOKUP(Y27,Düngemittel!$B$6:$E$64,3,FALSE))/100*Z27</f>
        <v>0</v>
      </c>
      <c r="AB27" s="687">
        <f>VLOOKUP(Y27,Düngemittel!$B$6:$E$64,2,FALSE)*Z27</f>
        <v>0</v>
      </c>
      <c r="AC27" s="687">
        <f>VLOOKUP(Y27,Düngemittel!$B$6:$E$64,4,FALSE)*Z27</f>
        <v>0</v>
      </c>
      <c r="AE27" s="886"/>
      <c r="AF27" s="887" t="s">
        <v>805</v>
      </c>
      <c r="AG27" s="906">
        <v>0</v>
      </c>
      <c r="AH27" s="687">
        <f>VLOOKUP(AF27,Düngemittel!$B$6:$E$64,2,FALSE)*(VLOOKUP(AF27,Düngemittel!$B$6:$E$64,3,FALSE))/100*AG27</f>
        <v>0</v>
      </c>
      <c r="AI27" s="687">
        <f>VLOOKUP(AF27,Düngemittel!$B$6:$E$64,2,FALSE)*AG27</f>
        <v>0</v>
      </c>
      <c r="AJ27" s="687">
        <f>VLOOKUP(AF27,Düngemittel!$B$6:$E$64,4,FALSE)*AG27</f>
        <v>0</v>
      </c>
      <c r="AL27" s="886"/>
      <c r="AM27" s="887" t="s">
        <v>805</v>
      </c>
      <c r="AN27" s="906">
        <v>0</v>
      </c>
      <c r="AO27" s="687">
        <f>VLOOKUP(AM27,Düngemittel!$B$6:$E$64,2,FALSE)*(VLOOKUP(AM27,Düngemittel!$B$6:$E$64,3,FALSE))/100*AN27</f>
        <v>0</v>
      </c>
      <c r="AP27" s="687">
        <f>VLOOKUP(AM27,Düngemittel!$B$6:$E$64,2,FALSE)*AN27</f>
        <v>0</v>
      </c>
      <c r="AQ27" s="687">
        <f>VLOOKUP(AM27,Düngemittel!$B$6:$E$64,4,FALSE)*AN27</f>
        <v>0</v>
      </c>
      <c r="AS27" s="886"/>
      <c r="AT27" s="887" t="s">
        <v>805</v>
      </c>
      <c r="AU27" s="906">
        <v>0</v>
      </c>
      <c r="AV27" s="687">
        <f>VLOOKUP(AT27,Düngemittel!$B$6:$E$64,2,FALSE)*(VLOOKUP(AT27,Düngemittel!$B$6:$E$64,3,FALSE))/100*AU27</f>
        <v>0</v>
      </c>
      <c r="AW27" s="687">
        <f>VLOOKUP(AT27,Düngemittel!$B$6:$E$64,2,FALSE)*AU27</f>
        <v>0</v>
      </c>
      <c r="AX27" s="687">
        <f>VLOOKUP(AT27,Düngemittel!$B$6:$E$64,4,FALSE)*AU27</f>
        <v>0</v>
      </c>
      <c r="AZ27" s="886"/>
      <c r="BA27" s="887" t="s">
        <v>805</v>
      </c>
      <c r="BB27" s="906">
        <v>0</v>
      </c>
      <c r="BC27" s="687">
        <f>VLOOKUP(BA27,Düngemittel!$B$6:$E$64,2,FALSE)*(VLOOKUP(BA27,Düngemittel!$B$6:$E$64,3,FALSE))/100*BB27</f>
        <v>0</v>
      </c>
      <c r="BD27" s="687">
        <f>VLOOKUP(BA27,Düngemittel!$B$6:$E$64,2,FALSE)*BB27</f>
        <v>0</v>
      </c>
      <c r="BE27" s="687">
        <f>VLOOKUP(BA27,Düngemittel!$B$6:$E$64,4,FALSE)*BB27</f>
        <v>0</v>
      </c>
      <c r="BG27" s="853">
        <f t="shared" si="17"/>
        <v>0</v>
      </c>
      <c r="BH27" s="308">
        <f t="shared" si="18"/>
        <v>0</v>
      </c>
      <c r="BI27" s="853">
        <f t="shared" si="18"/>
        <v>0</v>
      </c>
      <c r="BJ27" s="777">
        <f t="shared" si="19"/>
        <v>0</v>
      </c>
      <c r="BK27" s="308">
        <f t="shared" si="20"/>
        <v>0</v>
      </c>
      <c r="BL27" s="83"/>
      <c r="BM27" s="686">
        <f t="shared" si="21"/>
        <v>0</v>
      </c>
      <c r="BN27" s="686">
        <f t="shared" si="21"/>
        <v>0</v>
      </c>
      <c r="BO27" s="686">
        <f t="shared" si="21"/>
        <v>0</v>
      </c>
      <c r="BP27" s="686">
        <f t="shared" si="21"/>
        <v>0</v>
      </c>
      <c r="BQ27" s="686">
        <f t="shared" si="21"/>
        <v>0</v>
      </c>
      <c r="BT27" s="351">
        <f t="shared" si="11"/>
        <v>0</v>
      </c>
      <c r="BU27" s="351">
        <f t="shared" si="12"/>
        <v>0</v>
      </c>
      <c r="BW27" s="643" t="s">
        <v>772</v>
      </c>
      <c r="BX27" s="643">
        <v>200</v>
      </c>
      <c r="BY27" s="643">
        <v>100</v>
      </c>
      <c r="BZ27" s="643">
        <v>0.2</v>
      </c>
      <c r="CA27" s="643">
        <v>0.3</v>
      </c>
      <c r="CB27" s="641">
        <v>60</v>
      </c>
      <c r="CC27" s="393">
        <v>0.24</v>
      </c>
      <c r="CD27" s="352">
        <f t="shared" si="0"/>
        <v>48</v>
      </c>
    </row>
    <row r="28" spans="1:84" ht="26.25" customHeight="1" x14ac:dyDescent="0.25">
      <c r="A28" s="342"/>
      <c r="B28" s="1215"/>
      <c r="C28" s="600" t="s">
        <v>31</v>
      </c>
      <c r="D28" s="408">
        <f t="shared" si="1"/>
        <v>0</v>
      </c>
      <c r="E28" s="427">
        <f t="shared" si="2"/>
        <v>0</v>
      </c>
      <c r="F28" s="1206"/>
      <c r="G28" s="413">
        <f t="shared" si="3"/>
        <v>0</v>
      </c>
      <c r="H28" s="602" t="s">
        <v>510</v>
      </c>
      <c r="I28" s="427">
        <f t="shared" si="4"/>
        <v>0</v>
      </c>
      <c r="J28" s="430" t="s">
        <v>31</v>
      </c>
      <c r="K28" s="606">
        <f t="shared" si="5"/>
        <v>0</v>
      </c>
      <c r="L28" s="408">
        <f t="shared" si="6"/>
        <v>0</v>
      </c>
      <c r="M28" s="1209"/>
      <c r="N28" s="450" t="s">
        <v>160</v>
      </c>
      <c r="O28" s="427">
        <f t="shared" si="7"/>
        <v>0</v>
      </c>
      <c r="P28" s="1212"/>
      <c r="Q28" s="747">
        <f t="shared" si="13"/>
        <v>0</v>
      </c>
      <c r="R28" s="608">
        <f t="shared" si="8"/>
        <v>0</v>
      </c>
      <c r="S28" s="479">
        <f t="shared" si="9"/>
        <v>0</v>
      </c>
      <c r="T28" s="435">
        <f t="shared" si="14"/>
        <v>0</v>
      </c>
      <c r="U28" s="122"/>
      <c r="V28" s="852">
        <f t="shared" si="15"/>
        <v>0</v>
      </c>
      <c r="W28" s="852" t="str">
        <f t="shared" si="16"/>
        <v>keine</v>
      </c>
      <c r="X28" s="886"/>
      <c r="Y28" s="887" t="s">
        <v>805</v>
      </c>
      <c r="Z28" s="906">
        <v>0</v>
      </c>
      <c r="AA28" s="687">
        <f>VLOOKUP(Y28,Düngemittel!$B$6:$E$64,2,FALSE)*(VLOOKUP(Y28,Düngemittel!$B$6:$E$64,3,FALSE))/100*Z28</f>
        <v>0</v>
      </c>
      <c r="AB28" s="687">
        <f>VLOOKUP(Y28,Düngemittel!$B$6:$E$64,2,FALSE)*Z28</f>
        <v>0</v>
      </c>
      <c r="AC28" s="687">
        <f>VLOOKUP(Y28,Düngemittel!$B$6:$E$64,4,FALSE)*Z28</f>
        <v>0</v>
      </c>
      <c r="AD28" s="122"/>
      <c r="AE28" s="886"/>
      <c r="AF28" s="887" t="s">
        <v>805</v>
      </c>
      <c r="AG28" s="906">
        <v>0</v>
      </c>
      <c r="AH28" s="687">
        <f>VLOOKUP(AF28,Düngemittel!$B$6:$E$64,2,FALSE)*(VLOOKUP(AF28,Düngemittel!$B$6:$E$64,3,FALSE))/100*AG28</f>
        <v>0</v>
      </c>
      <c r="AI28" s="687">
        <f>VLOOKUP(AF28,Düngemittel!$B$6:$E$64,2,FALSE)*AG28</f>
        <v>0</v>
      </c>
      <c r="AJ28" s="687">
        <f>VLOOKUP(AF28,Düngemittel!$B$6:$E$64,4,FALSE)*AG28</f>
        <v>0</v>
      </c>
      <c r="AK28" s="122"/>
      <c r="AL28" s="886"/>
      <c r="AM28" s="887" t="s">
        <v>805</v>
      </c>
      <c r="AN28" s="906">
        <v>0</v>
      </c>
      <c r="AO28" s="687">
        <f>VLOOKUP(AM28,Düngemittel!$B$6:$E$64,2,FALSE)*(VLOOKUP(AM28,Düngemittel!$B$6:$E$64,3,FALSE))/100*AN28</f>
        <v>0</v>
      </c>
      <c r="AP28" s="687">
        <f>VLOOKUP(AM28,Düngemittel!$B$6:$E$64,2,FALSE)*AN28</f>
        <v>0</v>
      </c>
      <c r="AQ28" s="687">
        <f>VLOOKUP(AM28,Düngemittel!$B$6:$E$64,4,FALSE)*AN28</f>
        <v>0</v>
      </c>
      <c r="AR28" s="122"/>
      <c r="AS28" s="886"/>
      <c r="AT28" s="887" t="s">
        <v>805</v>
      </c>
      <c r="AU28" s="906">
        <v>0</v>
      </c>
      <c r="AV28" s="687">
        <f>VLOOKUP(AT28,Düngemittel!$B$6:$E$64,2,FALSE)*(VLOOKUP(AT28,Düngemittel!$B$6:$E$64,3,FALSE))/100*AU28</f>
        <v>0</v>
      </c>
      <c r="AW28" s="687">
        <f>VLOOKUP(AT28,Düngemittel!$B$6:$E$64,2,FALSE)*AU28</f>
        <v>0</v>
      </c>
      <c r="AX28" s="687">
        <f>VLOOKUP(AT28,Düngemittel!$B$6:$E$64,4,FALSE)*AU28</f>
        <v>0</v>
      </c>
      <c r="AY28" s="122"/>
      <c r="AZ28" s="886"/>
      <c r="BA28" s="887" t="s">
        <v>805</v>
      </c>
      <c r="BB28" s="906">
        <v>0</v>
      </c>
      <c r="BC28" s="687">
        <f>VLOOKUP(BA28,Düngemittel!$B$6:$E$64,2,FALSE)*(VLOOKUP(BA28,Düngemittel!$B$6:$E$64,3,FALSE))/100*BB28</f>
        <v>0</v>
      </c>
      <c r="BD28" s="687">
        <f>VLOOKUP(BA28,Düngemittel!$B$6:$E$64,2,FALSE)*BB28</f>
        <v>0</v>
      </c>
      <c r="BE28" s="687">
        <f>VLOOKUP(BA28,Düngemittel!$B$6:$E$64,4,FALSE)*BB28</f>
        <v>0</v>
      </c>
      <c r="BF28" s="122"/>
      <c r="BG28" s="853">
        <f t="shared" si="17"/>
        <v>0</v>
      </c>
      <c r="BH28" s="308">
        <f t="shared" si="18"/>
        <v>0</v>
      </c>
      <c r="BI28" s="853">
        <f t="shared" si="18"/>
        <v>0</v>
      </c>
      <c r="BJ28" s="777">
        <f t="shared" si="19"/>
        <v>0</v>
      </c>
      <c r="BK28" s="308">
        <f t="shared" si="20"/>
        <v>0</v>
      </c>
      <c r="BL28" s="83"/>
      <c r="BM28" s="686">
        <f t="shared" si="21"/>
        <v>0</v>
      </c>
      <c r="BN28" s="686">
        <f t="shared" si="21"/>
        <v>0</v>
      </c>
      <c r="BO28" s="686">
        <f t="shared" si="21"/>
        <v>0</v>
      </c>
      <c r="BP28" s="686">
        <f t="shared" si="21"/>
        <v>0</v>
      </c>
      <c r="BQ28" s="686">
        <f t="shared" si="21"/>
        <v>0</v>
      </c>
      <c r="BS28" s="122"/>
      <c r="BT28" s="351">
        <f t="shared" si="11"/>
        <v>0</v>
      </c>
      <c r="BU28" s="351">
        <f t="shared" si="12"/>
        <v>0</v>
      </c>
      <c r="BW28" s="124" t="s">
        <v>702</v>
      </c>
      <c r="BX28" s="124">
        <v>20</v>
      </c>
      <c r="BY28" s="592">
        <v>100</v>
      </c>
      <c r="BZ28" s="591">
        <v>2</v>
      </c>
      <c r="CA28" s="591">
        <v>3</v>
      </c>
      <c r="CB28" s="641">
        <v>60</v>
      </c>
      <c r="CC28" s="393">
        <v>1.2</v>
      </c>
      <c r="CD28" s="352">
        <f t="shared" si="0"/>
        <v>24</v>
      </c>
    </row>
    <row r="29" spans="1:84" ht="20.25" customHeight="1" x14ac:dyDescent="0.25">
      <c r="A29" s="342"/>
      <c r="B29" s="1215"/>
      <c r="C29" s="600" t="s">
        <v>31</v>
      </c>
      <c r="D29" s="408">
        <f t="shared" si="1"/>
        <v>0</v>
      </c>
      <c r="E29" s="427">
        <f t="shared" si="2"/>
        <v>0</v>
      </c>
      <c r="F29" s="1206"/>
      <c r="G29" s="413">
        <f t="shared" si="3"/>
        <v>0</v>
      </c>
      <c r="H29" s="602" t="s">
        <v>510</v>
      </c>
      <c r="I29" s="427">
        <f t="shared" si="4"/>
        <v>0</v>
      </c>
      <c r="J29" s="430" t="s">
        <v>31</v>
      </c>
      <c r="K29" s="606">
        <f t="shared" si="5"/>
        <v>0</v>
      </c>
      <c r="L29" s="408">
        <f t="shared" si="6"/>
        <v>0</v>
      </c>
      <c r="M29" s="1209"/>
      <c r="N29" s="450" t="s">
        <v>160</v>
      </c>
      <c r="O29" s="427">
        <f t="shared" si="7"/>
        <v>0</v>
      </c>
      <c r="P29" s="1212"/>
      <c r="Q29" s="747">
        <f t="shared" si="13"/>
        <v>0</v>
      </c>
      <c r="R29" s="608">
        <f t="shared" si="8"/>
        <v>0</v>
      </c>
      <c r="S29" s="479">
        <f t="shared" si="9"/>
        <v>0</v>
      </c>
      <c r="T29" s="435">
        <f t="shared" si="14"/>
        <v>0</v>
      </c>
      <c r="V29" s="852">
        <f t="shared" si="15"/>
        <v>0</v>
      </c>
      <c r="W29" s="852" t="str">
        <f t="shared" si="16"/>
        <v>keine</v>
      </c>
      <c r="X29" s="886"/>
      <c r="Y29" s="887" t="s">
        <v>805</v>
      </c>
      <c r="Z29" s="906">
        <v>0</v>
      </c>
      <c r="AA29" s="687">
        <f>VLOOKUP(Y29,Düngemittel!$B$6:$E$64,2,FALSE)*(VLOOKUP(Y29,Düngemittel!$B$6:$E$64,3,FALSE))/100*Z29</f>
        <v>0</v>
      </c>
      <c r="AB29" s="687">
        <f>VLOOKUP(Y29,Düngemittel!$B$6:$E$64,2,FALSE)*Z29</f>
        <v>0</v>
      </c>
      <c r="AC29" s="687">
        <f>VLOOKUP(Y29,Düngemittel!$B$6:$E$64,4,FALSE)*Z29</f>
        <v>0</v>
      </c>
      <c r="AE29" s="886"/>
      <c r="AF29" s="887" t="s">
        <v>805</v>
      </c>
      <c r="AG29" s="906">
        <v>0</v>
      </c>
      <c r="AH29" s="687">
        <f>VLOOKUP(AF29,Düngemittel!$B$6:$E$64,2,FALSE)*(VLOOKUP(AF29,Düngemittel!$B$6:$E$64,3,FALSE))/100*AG29</f>
        <v>0</v>
      </c>
      <c r="AI29" s="687">
        <f>VLOOKUP(AF29,Düngemittel!$B$6:$E$64,2,FALSE)*AG29</f>
        <v>0</v>
      </c>
      <c r="AJ29" s="687">
        <f>VLOOKUP(AF29,Düngemittel!$B$6:$E$64,4,FALSE)*AG29</f>
        <v>0</v>
      </c>
      <c r="AL29" s="886"/>
      <c r="AM29" s="887" t="s">
        <v>805</v>
      </c>
      <c r="AN29" s="906">
        <v>0</v>
      </c>
      <c r="AO29" s="687">
        <f>VLOOKUP(AM29,Düngemittel!$B$6:$E$64,2,FALSE)*(VLOOKUP(AM29,Düngemittel!$B$6:$E$64,3,FALSE))/100*AN29</f>
        <v>0</v>
      </c>
      <c r="AP29" s="687">
        <f>VLOOKUP(AM29,Düngemittel!$B$6:$E$64,2,FALSE)*AN29</f>
        <v>0</v>
      </c>
      <c r="AQ29" s="687">
        <f>VLOOKUP(AM29,Düngemittel!$B$6:$E$64,4,FALSE)*AN29</f>
        <v>0</v>
      </c>
      <c r="AS29" s="886"/>
      <c r="AT29" s="887" t="s">
        <v>805</v>
      </c>
      <c r="AU29" s="906">
        <v>0</v>
      </c>
      <c r="AV29" s="687">
        <f>VLOOKUP(AT29,Düngemittel!$B$6:$E$64,2,FALSE)*(VLOOKUP(AT29,Düngemittel!$B$6:$E$64,3,FALSE))/100*AU29</f>
        <v>0</v>
      </c>
      <c r="AW29" s="687">
        <f>VLOOKUP(AT29,Düngemittel!$B$6:$E$64,2,FALSE)*AU29</f>
        <v>0</v>
      </c>
      <c r="AX29" s="687">
        <f>VLOOKUP(AT29,Düngemittel!$B$6:$E$64,4,FALSE)*AU29</f>
        <v>0</v>
      </c>
      <c r="AZ29" s="886"/>
      <c r="BA29" s="887" t="s">
        <v>805</v>
      </c>
      <c r="BB29" s="906">
        <v>0</v>
      </c>
      <c r="BC29" s="687">
        <f>VLOOKUP(BA29,Düngemittel!$B$6:$E$64,2,FALSE)*(VLOOKUP(BA29,Düngemittel!$B$6:$E$64,3,FALSE))/100*BB29</f>
        <v>0</v>
      </c>
      <c r="BD29" s="687">
        <f>VLOOKUP(BA29,Düngemittel!$B$6:$E$64,2,FALSE)*BB29</f>
        <v>0</v>
      </c>
      <c r="BE29" s="687">
        <f>VLOOKUP(BA29,Düngemittel!$B$6:$E$64,4,FALSE)*BB29</f>
        <v>0</v>
      </c>
      <c r="BG29" s="853">
        <f t="shared" si="17"/>
        <v>0</v>
      </c>
      <c r="BH29" s="308">
        <f t="shared" si="18"/>
        <v>0</v>
      </c>
      <c r="BI29" s="853">
        <f t="shared" si="18"/>
        <v>0</v>
      </c>
      <c r="BJ29" s="777">
        <f t="shared" si="19"/>
        <v>0</v>
      </c>
      <c r="BK29" s="308">
        <f t="shared" si="20"/>
        <v>0</v>
      </c>
      <c r="BL29" s="83"/>
      <c r="BM29" s="686">
        <f t="shared" si="21"/>
        <v>0</v>
      </c>
      <c r="BN29" s="686">
        <f t="shared" si="21"/>
        <v>0</v>
      </c>
      <c r="BO29" s="686">
        <f t="shared" si="21"/>
        <v>0</v>
      </c>
      <c r="BP29" s="686">
        <f t="shared" si="21"/>
        <v>0</v>
      </c>
      <c r="BQ29" s="686">
        <f t="shared" si="21"/>
        <v>0</v>
      </c>
      <c r="BT29" s="351">
        <f t="shared" si="11"/>
        <v>0</v>
      </c>
      <c r="BU29" s="351">
        <f t="shared" si="12"/>
        <v>0</v>
      </c>
      <c r="BV29" s="112"/>
      <c r="BW29" s="240" t="s">
        <v>697</v>
      </c>
      <c r="BX29" s="240">
        <v>25</v>
      </c>
      <c r="BY29" s="594">
        <v>160</v>
      </c>
      <c r="BZ29" s="591">
        <v>2</v>
      </c>
      <c r="CA29" s="591">
        <v>3</v>
      </c>
      <c r="CB29" s="641">
        <v>60</v>
      </c>
      <c r="CC29" s="393">
        <v>1.77</v>
      </c>
      <c r="CD29" s="352">
        <f t="shared" si="0"/>
        <v>44.25</v>
      </c>
    </row>
    <row r="30" spans="1:84" ht="21" customHeight="1" x14ac:dyDescent="0.25">
      <c r="A30" s="342"/>
      <c r="B30" s="1215"/>
      <c r="C30" s="600" t="s">
        <v>31</v>
      </c>
      <c r="D30" s="408">
        <f t="shared" si="1"/>
        <v>0</v>
      </c>
      <c r="E30" s="427">
        <f t="shared" si="2"/>
        <v>0</v>
      </c>
      <c r="F30" s="1206"/>
      <c r="G30" s="413">
        <f t="shared" si="3"/>
        <v>0</v>
      </c>
      <c r="H30" s="602" t="s">
        <v>510</v>
      </c>
      <c r="I30" s="427">
        <f t="shared" si="4"/>
        <v>0</v>
      </c>
      <c r="J30" s="430" t="s">
        <v>31</v>
      </c>
      <c r="K30" s="606">
        <f t="shared" si="5"/>
        <v>0</v>
      </c>
      <c r="L30" s="408">
        <f t="shared" si="6"/>
        <v>0</v>
      </c>
      <c r="M30" s="1209"/>
      <c r="N30" s="450" t="s">
        <v>160</v>
      </c>
      <c r="O30" s="427">
        <f t="shared" si="7"/>
        <v>0</v>
      </c>
      <c r="P30" s="1212"/>
      <c r="Q30" s="747">
        <f t="shared" si="13"/>
        <v>0</v>
      </c>
      <c r="R30" s="608">
        <f t="shared" si="8"/>
        <v>0</v>
      </c>
      <c r="S30" s="479">
        <f t="shared" si="9"/>
        <v>0</v>
      </c>
      <c r="T30" s="435">
        <f t="shared" si="14"/>
        <v>0</v>
      </c>
      <c r="V30" s="852">
        <f t="shared" si="15"/>
        <v>0</v>
      </c>
      <c r="W30" s="852" t="str">
        <f t="shared" si="16"/>
        <v>keine</v>
      </c>
      <c r="X30" s="886"/>
      <c r="Y30" s="887" t="s">
        <v>805</v>
      </c>
      <c r="Z30" s="906">
        <v>0</v>
      </c>
      <c r="AA30" s="687">
        <f>VLOOKUP(Y30,Düngemittel!$B$6:$E$64,2,FALSE)*(VLOOKUP(Y30,Düngemittel!$B$6:$E$64,3,FALSE))/100*Z30</f>
        <v>0</v>
      </c>
      <c r="AB30" s="687">
        <f>VLOOKUP(Y30,Düngemittel!$B$6:$E$64,2,FALSE)*Z30</f>
        <v>0</v>
      </c>
      <c r="AC30" s="687">
        <f>VLOOKUP(Y30,Düngemittel!$B$6:$E$64,4,FALSE)*Z30</f>
        <v>0</v>
      </c>
      <c r="AE30" s="886"/>
      <c r="AF30" s="887" t="s">
        <v>805</v>
      </c>
      <c r="AG30" s="906">
        <v>0</v>
      </c>
      <c r="AH30" s="687">
        <f>VLOOKUP(AF30,Düngemittel!$B$6:$E$64,2,FALSE)*(VLOOKUP(AF30,Düngemittel!$B$6:$E$64,3,FALSE))/100*AG30</f>
        <v>0</v>
      </c>
      <c r="AI30" s="687">
        <f>VLOOKUP(AF30,Düngemittel!$B$6:$E$64,2,FALSE)*AG30</f>
        <v>0</v>
      </c>
      <c r="AJ30" s="687">
        <f>VLOOKUP(AF30,Düngemittel!$B$6:$E$64,4,FALSE)*AG30</f>
        <v>0</v>
      </c>
      <c r="AL30" s="886"/>
      <c r="AM30" s="887" t="s">
        <v>805</v>
      </c>
      <c r="AN30" s="906">
        <v>0</v>
      </c>
      <c r="AO30" s="687">
        <f>VLOOKUP(AM30,Düngemittel!$B$6:$E$64,2,FALSE)*(VLOOKUP(AM30,Düngemittel!$B$6:$E$64,3,FALSE))/100*AN30</f>
        <v>0</v>
      </c>
      <c r="AP30" s="687">
        <f>VLOOKUP(AM30,Düngemittel!$B$6:$E$64,2,FALSE)*AN30</f>
        <v>0</v>
      </c>
      <c r="AQ30" s="687">
        <f>VLOOKUP(AM30,Düngemittel!$B$6:$E$64,4,FALSE)*AN30</f>
        <v>0</v>
      </c>
      <c r="AS30" s="886"/>
      <c r="AT30" s="887" t="s">
        <v>805</v>
      </c>
      <c r="AU30" s="906">
        <v>0</v>
      </c>
      <c r="AV30" s="687">
        <f>VLOOKUP(AT30,Düngemittel!$B$6:$E$64,2,FALSE)*(VLOOKUP(AT30,Düngemittel!$B$6:$E$64,3,FALSE))/100*AU30</f>
        <v>0</v>
      </c>
      <c r="AW30" s="687">
        <f>VLOOKUP(AT30,Düngemittel!$B$6:$E$64,2,FALSE)*AU30</f>
        <v>0</v>
      </c>
      <c r="AX30" s="687">
        <f>VLOOKUP(AT30,Düngemittel!$B$6:$E$64,4,FALSE)*AU30</f>
        <v>0</v>
      </c>
      <c r="AZ30" s="886"/>
      <c r="BA30" s="887" t="s">
        <v>805</v>
      </c>
      <c r="BB30" s="906">
        <v>0</v>
      </c>
      <c r="BC30" s="687">
        <f>VLOOKUP(BA30,Düngemittel!$B$6:$E$64,2,FALSE)*(VLOOKUP(BA30,Düngemittel!$B$6:$E$64,3,FALSE))/100*BB30</f>
        <v>0</v>
      </c>
      <c r="BD30" s="687">
        <f>VLOOKUP(BA30,Düngemittel!$B$6:$E$64,2,FALSE)*BB30</f>
        <v>0</v>
      </c>
      <c r="BE30" s="687">
        <f>VLOOKUP(BA30,Düngemittel!$B$6:$E$64,4,FALSE)*BB30</f>
        <v>0</v>
      </c>
      <c r="BG30" s="853">
        <f t="shared" si="17"/>
        <v>0</v>
      </c>
      <c r="BH30" s="308">
        <f t="shared" si="18"/>
        <v>0</v>
      </c>
      <c r="BI30" s="853">
        <f t="shared" si="18"/>
        <v>0</v>
      </c>
      <c r="BJ30" s="777">
        <f t="shared" si="19"/>
        <v>0</v>
      </c>
      <c r="BK30" s="308">
        <f t="shared" si="20"/>
        <v>0</v>
      </c>
      <c r="BL30" s="83"/>
      <c r="BM30" s="686">
        <f t="shared" si="21"/>
        <v>0</v>
      </c>
      <c r="BN30" s="686">
        <f t="shared" si="21"/>
        <v>0</v>
      </c>
      <c r="BO30" s="686">
        <f t="shared" si="21"/>
        <v>0</v>
      </c>
      <c r="BP30" s="686">
        <f t="shared" si="21"/>
        <v>0</v>
      </c>
      <c r="BQ30" s="686">
        <f t="shared" si="21"/>
        <v>0</v>
      </c>
      <c r="BT30" s="351">
        <f t="shared" si="11"/>
        <v>0</v>
      </c>
      <c r="BU30" s="351">
        <f t="shared" si="12"/>
        <v>0</v>
      </c>
      <c r="BV30" s="112"/>
      <c r="BW30" s="580" t="s">
        <v>770</v>
      </c>
      <c r="BX30" s="580">
        <v>500</v>
      </c>
      <c r="BY30" s="591">
        <v>140</v>
      </c>
      <c r="BZ30" s="642">
        <v>0.2</v>
      </c>
      <c r="CA30" s="642">
        <v>0.3</v>
      </c>
      <c r="CB30" s="641">
        <v>60</v>
      </c>
      <c r="CC30" s="393">
        <v>0.14000000000000001</v>
      </c>
      <c r="CD30" s="352">
        <f t="shared" si="0"/>
        <v>70</v>
      </c>
    </row>
    <row r="31" spans="1:84" ht="25.5" customHeight="1" thickBot="1" x14ac:dyDescent="0.3">
      <c r="A31" s="381"/>
      <c r="B31" s="1216"/>
      <c r="C31" s="807" t="s">
        <v>31</v>
      </c>
      <c r="D31" s="410">
        <f>VLOOKUP(C31,BW$3:CA$58,2,FALSE)</f>
        <v>0</v>
      </c>
      <c r="E31" s="601">
        <f t="shared" si="2"/>
        <v>0</v>
      </c>
      <c r="F31" s="1207"/>
      <c r="G31" s="414">
        <f t="shared" si="3"/>
        <v>0</v>
      </c>
      <c r="H31" s="603" t="s">
        <v>510</v>
      </c>
      <c r="I31" s="428">
        <f t="shared" si="4"/>
        <v>0</v>
      </c>
      <c r="J31" s="431" t="s">
        <v>31</v>
      </c>
      <c r="K31" s="607">
        <f t="shared" si="5"/>
        <v>0</v>
      </c>
      <c r="L31" s="410">
        <f t="shared" si="6"/>
        <v>0</v>
      </c>
      <c r="M31" s="1210"/>
      <c r="N31" s="454" t="s">
        <v>160</v>
      </c>
      <c r="O31" s="428">
        <f t="shared" si="7"/>
        <v>0</v>
      </c>
      <c r="P31" s="1213"/>
      <c r="Q31" s="482">
        <f t="shared" si="13"/>
        <v>0</v>
      </c>
      <c r="R31" s="609">
        <f t="shared" si="8"/>
        <v>0</v>
      </c>
      <c r="S31" s="480">
        <f>F31*VLOOKUP(C31,BW$3:CC$58,7,FALSE)</f>
        <v>0</v>
      </c>
      <c r="T31" s="481">
        <f t="shared" si="14"/>
        <v>0</v>
      </c>
      <c r="V31" s="852">
        <f t="shared" si="15"/>
        <v>0</v>
      </c>
      <c r="W31" s="852" t="str">
        <f t="shared" si="16"/>
        <v>keine</v>
      </c>
      <c r="X31" s="886"/>
      <c r="Y31" s="887" t="s">
        <v>805</v>
      </c>
      <c r="Z31" s="906">
        <v>0</v>
      </c>
      <c r="AA31" s="687">
        <f>VLOOKUP(Y31,Düngemittel!$B$6:$E$64,2,FALSE)*(VLOOKUP(Y31,Düngemittel!$B$6:$E$64,3,FALSE))/100*Z31</f>
        <v>0</v>
      </c>
      <c r="AB31" s="687">
        <f>VLOOKUP(Y31,Düngemittel!$B$6:$E$64,2,FALSE)*Z31</f>
        <v>0</v>
      </c>
      <c r="AC31" s="687">
        <f>VLOOKUP(Y31,Düngemittel!$B$6:$E$64,4,FALSE)*Z31</f>
        <v>0</v>
      </c>
      <c r="AE31" s="886"/>
      <c r="AF31" s="887" t="s">
        <v>805</v>
      </c>
      <c r="AG31" s="906">
        <v>0</v>
      </c>
      <c r="AH31" s="687">
        <f>VLOOKUP(AF31,Düngemittel!$B$6:$E$64,2,FALSE)*(VLOOKUP(AF31,Düngemittel!$B$6:$E$64,3,FALSE))/100*AG31</f>
        <v>0</v>
      </c>
      <c r="AI31" s="687">
        <f>VLOOKUP(AF31,Düngemittel!$B$6:$E$64,2,FALSE)*AG31</f>
        <v>0</v>
      </c>
      <c r="AJ31" s="687">
        <f>VLOOKUP(AF31,Düngemittel!$B$6:$E$64,4,FALSE)*AG31</f>
        <v>0</v>
      </c>
      <c r="AL31" s="886"/>
      <c r="AM31" s="887" t="s">
        <v>805</v>
      </c>
      <c r="AN31" s="906">
        <v>0</v>
      </c>
      <c r="AO31" s="687">
        <f>VLOOKUP(AM31,Düngemittel!$B$6:$E$64,2,FALSE)*(VLOOKUP(AM31,Düngemittel!$B$6:$E$64,3,FALSE))/100*AN31</f>
        <v>0</v>
      </c>
      <c r="AP31" s="687">
        <f>VLOOKUP(AM31,Düngemittel!$B$6:$E$64,2,FALSE)*AN31</f>
        <v>0</v>
      </c>
      <c r="AQ31" s="687">
        <f>VLOOKUP(AM31,Düngemittel!$B$6:$E$64,4,FALSE)*AN31</f>
        <v>0</v>
      </c>
      <c r="AS31" s="886"/>
      <c r="AT31" s="887" t="s">
        <v>805</v>
      </c>
      <c r="AU31" s="906">
        <v>0</v>
      </c>
      <c r="AV31" s="687">
        <f>VLOOKUP(AT31,Düngemittel!$B$6:$E$64,2,FALSE)*(VLOOKUP(AT31,Düngemittel!$B$6:$E$64,3,FALSE))/100*AU31</f>
        <v>0</v>
      </c>
      <c r="AW31" s="687">
        <f>VLOOKUP(AT31,Düngemittel!$B$6:$E$64,2,FALSE)*AU31</f>
        <v>0</v>
      </c>
      <c r="AX31" s="687">
        <f>VLOOKUP(AT31,Düngemittel!$B$6:$E$64,4,FALSE)*AU31</f>
        <v>0</v>
      </c>
      <c r="AZ31" s="886"/>
      <c r="BA31" s="887" t="s">
        <v>805</v>
      </c>
      <c r="BB31" s="906">
        <v>0</v>
      </c>
      <c r="BC31" s="687">
        <f>VLOOKUP(BA31,Düngemittel!$B$6:$E$64,2,FALSE)*(VLOOKUP(BA31,Düngemittel!$B$6:$E$64,3,FALSE))/100*BB31</f>
        <v>0</v>
      </c>
      <c r="BD31" s="687">
        <f>VLOOKUP(BA31,Düngemittel!$B$6:$E$64,2,FALSE)*BB31</f>
        <v>0</v>
      </c>
      <c r="BE31" s="687">
        <f>VLOOKUP(BA31,Düngemittel!$B$6:$E$64,4,FALSE)*BB31</f>
        <v>0</v>
      </c>
      <c r="BG31" s="853">
        <f t="shared" si="17"/>
        <v>0</v>
      </c>
      <c r="BH31" s="308">
        <f t="shared" si="18"/>
        <v>0</v>
      </c>
      <c r="BI31" s="853">
        <f t="shared" si="18"/>
        <v>0</v>
      </c>
      <c r="BJ31" s="777">
        <f t="shared" si="19"/>
        <v>0</v>
      </c>
      <c r="BK31" s="308">
        <f t="shared" si="20"/>
        <v>0</v>
      </c>
      <c r="BL31" s="83"/>
      <c r="BM31" s="686">
        <f t="shared" si="21"/>
        <v>0</v>
      </c>
      <c r="BN31" s="686">
        <f t="shared" si="21"/>
        <v>0</v>
      </c>
      <c r="BO31" s="686">
        <f t="shared" si="21"/>
        <v>0</v>
      </c>
      <c r="BP31" s="686">
        <f t="shared" si="21"/>
        <v>0</v>
      </c>
      <c r="BQ31" s="686">
        <f t="shared" si="21"/>
        <v>0</v>
      </c>
      <c r="BT31" s="351">
        <f t="shared" si="11"/>
        <v>0</v>
      </c>
      <c r="BU31" s="351">
        <f t="shared" si="12"/>
        <v>0</v>
      </c>
      <c r="BW31" s="124" t="s">
        <v>696</v>
      </c>
      <c r="BX31" s="124">
        <v>450</v>
      </c>
      <c r="BY31" s="592">
        <v>200</v>
      </c>
      <c r="BZ31" s="593">
        <v>0.2</v>
      </c>
      <c r="CA31" s="593">
        <v>0.3</v>
      </c>
      <c r="CB31" s="641">
        <v>90</v>
      </c>
      <c r="CC31" s="393">
        <v>0.16</v>
      </c>
      <c r="CD31" s="352">
        <f t="shared" si="0"/>
        <v>72</v>
      </c>
    </row>
    <row r="32" spans="1:84" ht="25.5" customHeight="1" thickBot="1" x14ac:dyDescent="0.3">
      <c r="A32" s="382" t="s">
        <v>292</v>
      </c>
      <c r="B32" s="808">
        <f>SUM(B8:B31)</f>
        <v>0</v>
      </c>
      <c r="C32" s="809" t="s">
        <v>1077</v>
      </c>
      <c r="D32" s="371"/>
      <c r="E32" s="371"/>
      <c r="F32" s="371"/>
      <c r="G32" s="371"/>
      <c r="H32" s="375"/>
      <c r="I32" s="375"/>
      <c r="J32" s="375"/>
      <c r="K32" s="375"/>
      <c r="L32" s="371"/>
      <c r="M32" s="371"/>
      <c r="N32" s="375"/>
      <c r="O32" s="375"/>
      <c r="P32" s="375"/>
      <c r="Q32" s="385" t="s">
        <v>543</v>
      </c>
      <c r="R32" s="395">
        <f>SUM(R8:R31)</f>
        <v>0</v>
      </c>
      <c r="S32" s="502"/>
      <c r="T32" s="478">
        <f>SUM(T8:T31)</f>
        <v>0</v>
      </c>
      <c r="BF32" s="183"/>
      <c r="BG32" s="183"/>
      <c r="BH32" s="475"/>
      <c r="BM32" s="851">
        <f>SUM(BM8:BM31)</f>
        <v>0</v>
      </c>
      <c r="BN32" s="851">
        <f>SUM(BN8:BN31)</f>
        <v>0</v>
      </c>
      <c r="BO32" s="851">
        <f t="shared" ref="BO32:BQ32" si="22">SUM(BO8:BO31)</f>
        <v>0</v>
      </c>
      <c r="BP32" s="778">
        <f t="shared" si="22"/>
        <v>0</v>
      </c>
      <c r="BQ32" s="851">
        <f t="shared" si="22"/>
        <v>0</v>
      </c>
      <c r="BR32" s="782" t="s">
        <v>1097</v>
      </c>
      <c r="BS32" s="475"/>
      <c r="BW32" s="124" t="s">
        <v>41</v>
      </c>
      <c r="BX32" s="124">
        <v>50</v>
      </c>
      <c r="BY32" s="124">
        <v>140</v>
      </c>
      <c r="BZ32" s="124">
        <v>1</v>
      </c>
      <c r="CA32" s="124">
        <v>1.5</v>
      </c>
      <c r="CB32" s="641">
        <v>60</v>
      </c>
      <c r="CC32" s="393">
        <v>0.8</v>
      </c>
      <c r="CD32" s="352">
        <f t="shared" si="0"/>
        <v>40</v>
      </c>
    </row>
    <row r="33" spans="1:82" ht="24.75" customHeight="1" x14ac:dyDescent="0.25">
      <c r="A33" s="118"/>
      <c r="B33" s="112"/>
      <c r="D33" s="80"/>
      <c r="E33" s="112"/>
      <c r="J33" s="151"/>
      <c r="Q33" s="21"/>
      <c r="R33" s="1310" t="s">
        <v>1118</v>
      </c>
      <c r="T33" s="1310" t="s">
        <v>1119</v>
      </c>
      <c r="BG33" s="462" t="e">
        <f t="shared" ref="BG33:BK33" si="23">BM33</f>
        <v>#DIV/0!</v>
      </c>
      <c r="BH33" s="462" t="e">
        <f t="shared" si="23"/>
        <v>#DIV/0!</v>
      </c>
      <c r="BI33" s="462" t="e">
        <f t="shared" si="23"/>
        <v>#DIV/0!</v>
      </c>
      <c r="BJ33" s="777" t="e">
        <f t="shared" si="23"/>
        <v>#DIV/0!</v>
      </c>
      <c r="BK33" s="308" t="e">
        <f t="shared" si="23"/>
        <v>#DIV/0!</v>
      </c>
      <c r="BM33" s="779" t="e">
        <f>BM32/$B32</f>
        <v>#DIV/0!</v>
      </c>
      <c r="BN33" s="308" t="e">
        <f>BN32/$B32</f>
        <v>#DIV/0!</v>
      </c>
      <c r="BO33" s="779" t="e">
        <f>BO32/$B32</f>
        <v>#DIV/0!</v>
      </c>
      <c r="BP33" s="777" t="e">
        <f>BP32/$B32</f>
        <v>#DIV/0!</v>
      </c>
      <c r="BQ33" s="308" t="e">
        <f>BQ32/$B32</f>
        <v>#DIV/0!</v>
      </c>
      <c r="BR33" s="782" t="s">
        <v>1076</v>
      </c>
      <c r="BW33" s="580" t="s">
        <v>708</v>
      </c>
      <c r="BX33" s="580">
        <v>350</v>
      </c>
      <c r="BY33" s="580">
        <v>180</v>
      </c>
      <c r="BZ33" s="580">
        <v>0.2</v>
      </c>
      <c r="CA33" s="580">
        <v>0.3</v>
      </c>
      <c r="CB33" s="641">
        <v>60</v>
      </c>
      <c r="CC33" s="393">
        <v>0.23</v>
      </c>
      <c r="CD33" s="352">
        <f t="shared" si="0"/>
        <v>80.5</v>
      </c>
    </row>
    <row r="34" spans="1:82" ht="56.25" customHeight="1" thickBot="1" x14ac:dyDescent="0.3">
      <c r="A34" s="80"/>
      <c r="B34" s="770"/>
      <c r="D34" s="80"/>
      <c r="E34" s="112"/>
      <c r="J34" s="151"/>
      <c r="P34" s="357"/>
      <c r="Q34" s="804"/>
      <c r="R34" s="1311"/>
      <c r="S34" s="476"/>
      <c r="T34" s="1311"/>
      <c r="U34" s="611"/>
      <c r="V34" s="611"/>
      <c r="W34" s="611"/>
      <c r="X34" s="611"/>
      <c r="Y34" s="611"/>
      <c r="Z34" s="611"/>
      <c r="AA34" s="611"/>
      <c r="AB34" s="611"/>
      <c r="AC34" s="611"/>
      <c r="AD34" s="611"/>
      <c r="AE34" s="611"/>
      <c r="AF34" s="611"/>
      <c r="AG34" s="611"/>
      <c r="AH34" s="611"/>
      <c r="AI34" s="611"/>
      <c r="AJ34" s="611"/>
      <c r="AK34" s="611"/>
      <c r="AL34" s="611"/>
      <c r="AM34" s="611"/>
      <c r="AN34" s="611"/>
      <c r="AO34" s="611"/>
      <c r="AP34" s="611"/>
      <c r="AQ34" s="611"/>
      <c r="AR34" s="611"/>
      <c r="AS34" s="611"/>
      <c r="AT34" s="611"/>
      <c r="AU34" s="611"/>
      <c r="AV34" s="611"/>
      <c r="AW34" s="611"/>
      <c r="AX34" s="611"/>
      <c r="AY34" s="611"/>
      <c r="AZ34" s="611"/>
      <c r="BA34" s="611"/>
      <c r="BB34" s="611"/>
      <c r="BC34" s="611"/>
      <c r="BD34" s="611"/>
      <c r="BE34" s="611"/>
      <c r="BF34" s="611"/>
      <c r="BG34" s="775" t="s">
        <v>1096</v>
      </c>
      <c r="BH34" s="312" t="s">
        <v>1082</v>
      </c>
      <c r="BI34" s="312" t="s">
        <v>1083</v>
      </c>
      <c r="BJ34" s="699" t="s">
        <v>1268</v>
      </c>
      <c r="BK34" s="312" t="s">
        <v>290</v>
      </c>
      <c r="BL34" s="611"/>
      <c r="BM34" s="780" t="s">
        <v>1096</v>
      </c>
      <c r="BN34" s="312" t="s">
        <v>1082</v>
      </c>
      <c r="BO34" s="781" t="s">
        <v>1098</v>
      </c>
      <c r="BP34" s="699" t="s">
        <v>1268</v>
      </c>
      <c r="BQ34" s="312" t="s">
        <v>290</v>
      </c>
      <c r="BR34" s="122"/>
      <c r="BS34" s="611"/>
      <c r="BT34" s="122"/>
      <c r="BU34" s="122"/>
      <c r="BW34" s="598" t="s">
        <v>727</v>
      </c>
      <c r="BX34" s="598">
        <v>350</v>
      </c>
      <c r="BY34" s="598">
        <v>140</v>
      </c>
      <c r="BZ34" s="598">
        <v>0.15</v>
      </c>
      <c r="CA34" s="598">
        <v>0.23</v>
      </c>
      <c r="CB34" s="641">
        <v>60</v>
      </c>
      <c r="CC34" s="393">
        <v>0.23</v>
      </c>
      <c r="CD34" s="352">
        <f t="shared" si="0"/>
        <v>80.5</v>
      </c>
    </row>
    <row r="35" spans="1:82" ht="25.5" customHeight="1" x14ac:dyDescent="0.25">
      <c r="B35" s="112"/>
      <c r="D35" s="80"/>
      <c r="E35" s="112"/>
      <c r="J35" s="151"/>
      <c r="U35" s="611"/>
      <c r="V35" s="611"/>
      <c r="W35" s="611"/>
      <c r="X35" s="611"/>
      <c r="Y35" s="611"/>
      <c r="Z35" s="122"/>
      <c r="AA35" s="122"/>
      <c r="AB35" s="122"/>
      <c r="AC35" s="122"/>
      <c r="AD35" s="122"/>
      <c r="AE35" s="122"/>
      <c r="AF35" s="122"/>
      <c r="AG35" s="122"/>
      <c r="AH35" s="122"/>
      <c r="AI35" s="122"/>
      <c r="AJ35" s="122"/>
      <c r="AK35" s="122"/>
      <c r="AL35" s="122"/>
      <c r="AM35" s="122"/>
      <c r="AN35" s="122"/>
      <c r="AO35" s="122"/>
      <c r="AP35" s="122"/>
      <c r="AQ35" s="122"/>
      <c r="AR35" s="122"/>
      <c r="AS35" s="122"/>
      <c r="AT35" s="122"/>
      <c r="AU35" s="122"/>
      <c r="AV35" s="122"/>
      <c r="AW35" s="122"/>
      <c r="AX35" s="122"/>
      <c r="AY35" s="122"/>
      <c r="AZ35" s="122"/>
      <c r="BA35" s="122"/>
      <c r="BB35" s="122"/>
      <c r="BC35" s="122"/>
      <c r="BD35" s="122"/>
      <c r="BE35" s="122"/>
      <c r="BF35" s="122"/>
      <c r="BG35" s="122"/>
      <c r="BH35" s="122"/>
      <c r="BI35" s="122"/>
      <c r="BJ35" s="122"/>
      <c r="BK35" s="122"/>
      <c r="BL35" s="122"/>
      <c r="BM35" s="122"/>
      <c r="BN35" s="122"/>
      <c r="BO35" s="122"/>
      <c r="BP35" s="122"/>
      <c r="BQ35" s="122"/>
      <c r="BR35" s="122"/>
      <c r="BS35" s="122"/>
      <c r="BT35" s="122"/>
      <c r="BU35" s="122"/>
      <c r="BW35" s="598" t="s">
        <v>740</v>
      </c>
      <c r="BX35" s="598">
        <v>350</v>
      </c>
      <c r="BY35" s="598">
        <v>100</v>
      </c>
      <c r="BZ35" s="598">
        <v>0.1</v>
      </c>
      <c r="CA35" s="598">
        <v>0.15</v>
      </c>
      <c r="CB35" s="641">
        <v>60</v>
      </c>
      <c r="CC35" s="393">
        <v>0.23</v>
      </c>
      <c r="CD35" s="352">
        <f t="shared" si="0"/>
        <v>80.5</v>
      </c>
    </row>
    <row r="36" spans="1:82" ht="21" customHeight="1" x14ac:dyDescent="0.25">
      <c r="A36" s="1320" t="s">
        <v>1084</v>
      </c>
      <c r="B36" s="1321"/>
      <c r="C36" s="1328" t="s">
        <v>1085</v>
      </c>
      <c r="D36" s="1329"/>
      <c r="E36" s="1329"/>
      <c r="F36" s="1329"/>
      <c r="G36" s="1329"/>
      <c r="H36" s="1329"/>
      <c r="I36" s="1329"/>
      <c r="J36" s="1329"/>
      <c r="K36" s="1329"/>
      <c r="L36" s="1329"/>
      <c r="M36" s="1329"/>
      <c r="N36" s="1329"/>
      <c r="O36" s="1330"/>
      <c r="P36" s="1330"/>
      <c r="Q36" s="1330"/>
      <c r="R36" s="1330"/>
      <c r="S36" s="1331"/>
      <c r="T36" s="1332"/>
      <c r="U36" s="611"/>
      <c r="V36" s="611"/>
      <c r="W36" s="611"/>
      <c r="X36" s="611"/>
      <c r="Y36" s="611"/>
      <c r="Z36" s="122"/>
      <c r="AA36" s="122"/>
      <c r="AB36" s="122"/>
      <c r="AC36" s="122"/>
      <c r="AD36" s="122"/>
      <c r="AE36" s="122"/>
      <c r="AF36" s="122"/>
      <c r="AG36" s="122"/>
      <c r="AH36" s="122"/>
      <c r="AI36" s="122"/>
      <c r="AJ36" s="122"/>
      <c r="AK36" s="122"/>
      <c r="AL36" s="122"/>
      <c r="AM36" s="122"/>
      <c r="AN36" s="122"/>
      <c r="AO36" s="122"/>
      <c r="AP36" s="122"/>
      <c r="AQ36" s="122"/>
      <c r="AR36" s="122"/>
      <c r="AS36" s="122"/>
      <c r="AT36" s="122"/>
      <c r="AU36" s="122"/>
      <c r="AV36" s="122"/>
      <c r="AW36" s="122"/>
      <c r="AX36" s="122"/>
      <c r="AY36" s="122"/>
      <c r="AZ36" s="122"/>
      <c r="BA36" s="122"/>
      <c r="BB36" s="122"/>
      <c r="BC36" s="122"/>
      <c r="BD36" s="122"/>
      <c r="BE36" s="122"/>
      <c r="BF36" s="122"/>
      <c r="BG36" s="122"/>
      <c r="BH36" s="122"/>
      <c r="BI36" s="122"/>
      <c r="BJ36" s="122"/>
      <c r="BK36" s="122"/>
      <c r="BL36" s="122"/>
      <c r="BM36" s="122"/>
      <c r="BN36" s="122"/>
      <c r="BO36" s="122"/>
      <c r="BP36" s="122"/>
      <c r="BQ36" s="122"/>
      <c r="BR36" s="122"/>
      <c r="BS36" s="122"/>
      <c r="BT36" s="122"/>
      <c r="BU36" s="122"/>
      <c r="BW36" s="240" t="s">
        <v>762</v>
      </c>
      <c r="BX36" s="240">
        <v>30</v>
      </c>
      <c r="BY36" s="240">
        <v>190</v>
      </c>
      <c r="BZ36" s="240">
        <v>2</v>
      </c>
      <c r="CA36" s="240">
        <v>3</v>
      </c>
      <c r="CB36" s="641">
        <v>60</v>
      </c>
      <c r="CC36" s="393">
        <v>1.8</v>
      </c>
      <c r="CD36" s="352">
        <f t="shared" si="0"/>
        <v>54</v>
      </c>
    </row>
    <row r="37" spans="1:82" ht="21" customHeight="1" x14ac:dyDescent="0.25">
      <c r="A37" s="1322"/>
      <c r="B37" s="1323"/>
      <c r="C37" s="1333"/>
      <c r="D37" s="1334"/>
      <c r="E37" s="1334"/>
      <c r="F37" s="1334"/>
      <c r="G37" s="1334"/>
      <c r="H37" s="1334"/>
      <c r="I37" s="1334"/>
      <c r="J37" s="1334"/>
      <c r="K37" s="1334"/>
      <c r="L37" s="1334"/>
      <c r="M37" s="1334"/>
      <c r="N37" s="1334"/>
      <c r="O37" s="1335"/>
      <c r="P37" s="1335"/>
      <c r="Q37" s="1335"/>
      <c r="R37" s="1335"/>
      <c r="S37" s="1336"/>
      <c r="T37" s="1337"/>
      <c r="U37" s="611"/>
      <c r="V37" s="611"/>
      <c r="W37" s="611"/>
      <c r="X37" s="611"/>
      <c r="Y37" s="611"/>
      <c r="Z37" s="122"/>
      <c r="AA37" s="122"/>
      <c r="AB37" s="122"/>
      <c r="AC37" s="122"/>
      <c r="AD37" s="122"/>
      <c r="AE37" s="122"/>
      <c r="AF37" s="122"/>
      <c r="AG37" s="122"/>
      <c r="AH37" s="122"/>
      <c r="AI37" s="122"/>
      <c r="AJ37" s="122"/>
      <c r="AK37" s="122"/>
      <c r="AL37" s="122"/>
      <c r="AM37" s="122"/>
      <c r="AN37" s="122"/>
      <c r="AO37" s="122"/>
      <c r="AP37" s="122"/>
      <c r="AQ37" s="122"/>
      <c r="AR37" s="122"/>
      <c r="AS37" s="122"/>
      <c r="AT37" s="122"/>
      <c r="AU37" s="122"/>
      <c r="AV37" s="122"/>
      <c r="AW37" s="122"/>
      <c r="AX37" s="122"/>
      <c r="AY37" s="122"/>
      <c r="AZ37" s="122"/>
      <c r="BA37" s="122"/>
      <c r="BB37" s="122"/>
      <c r="BC37" s="122"/>
      <c r="BD37" s="122"/>
      <c r="BE37" s="122"/>
      <c r="BF37" s="122"/>
      <c r="BG37" s="122"/>
      <c r="BH37" s="122"/>
      <c r="BI37" s="122"/>
      <c r="BJ37" s="122"/>
      <c r="BK37" s="122"/>
      <c r="BL37" s="122"/>
      <c r="BM37" s="122"/>
      <c r="BN37" s="122"/>
      <c r="BO37" s="122"/>
      <c r="BP37" s="122"/>
      <c r="BQ37" s="122"/>
      <c r="BR37" s="122"/>
      <c r="BS37" s="122"/>
      <c r="BT37" s="122"/>
      <c r="BU37" s="122"/>
      <c r="BW37" s="124" t="s">
        <v>687</v>
      </c>
      <c r="BX37" s="124">
        <v>60</v>
      </c>
      <c r="BY37" s="597">
        <v>160</v>
      </c>
      <c r="BZ37" s="124">
        <v>1</v>
      </c>
      <c r="CA37" s="124">
        <v>1.5</v>
      </c>
      <c r="CB37" s="641">
        <v>60</v>
      </c>
      <c r="CC37" s="393">
        <v>0.8</v>
      </c>
      <c r="CD37" s="352">
        <f t="shared" si="0"/>
        <v>48</v>
      </c>
    </row>
    <row r="38" spans="1:82" ht="21" customHeight="1" x14ac:dyDescent="0.25">
      <c r="A38" s="1324"/>
      <c r="B38" s="1325"/>
      <c r="C38" s="1338"/>
      <c r="D38" s="1335"/>
      <c r="E38" s="1335"/>
      <c r="F38" s="1335"/>
      <c r="G38" s="1335"/>
      <c r="H38" s="1335"/>
      <c r="I38" s="1335"/>
      <c r="J38" s="1335"/>
      <c r="K38" s="1335"/>
      <c r="L38" s="1335"/>
      <c r="M38" s="1335"/>
      <c r="N38" s="1335"/>
      <c r="O38" s="1335"/>
      <c r="P38" s="1335"/>
      <c r="Q38" s="1335"/>
      <c r="R38" s="1335"/>
      <c r="S38" s="1336"/>
      <c r="T38" s="1337"/>
      <c r="U38" s="611"/>
      <c r="V38" s="611"/>
      <c r="W38" s="611"/>
      <c r="X38" s="611"/>
      <c r="Y38" s="611"/>
      <c r="Z38" s="122"/>
      <c r="AA38" s="122"/>
      <c r="AB38" s="122"/>
      <c r="AC38" s="122"/>
      <c r="AD38" s="122"/>
      <c r="AE38" s="122"/>
      <c r="AF38" s="122"/>
      <c r="AG38" s="122"/>
      <c r="AH38" s="122"/>
      <c r="AI38" s="122"/>
      <c r="AJ38" s="122"/>
      <c r="AK38" s="122"/>
      <c r="AL38" s="122"/>
      <c r="AM38" s="122"/>
      <c r="AN38" s="122"/>
      <c r="AO38" s="122"/>
      <c r="AP38" s="122"/>
      <c r="AQ38" s="122"/>
      <c r="AR38" s="122"/>
      <c r="AS38" s="122"/>
      <c r="AT38" s="122"/>
      <c r="AU38" s="122"/>
      <c r="AV38" s="122"/>
      <c r="AW38" s="122"/>
      <c r="AX38" s="122"/>
      <c r="AY38" s="122"/>
      <c r="AZ38" s="122"/>
      <c r="BA38" s="122"/>
      <c r="BB38" s="122"/>
      <c r="BC38" s="122"/>
      <c r="BD38" s="122"/>
      <c r="BE38" s="122"/>
      <c r="BF38" s="122"/>
      <c r="BG38" s="122"/>
      <c r="BH38" s="122"/>
      <c r="BI38" s="122"/>
      <c r="BJ38" s="122"/>
      <c r="BK38" s="122"/>
      <c r="BL38" s="122"/>
      <c r="BM38" s="122"/>
      <c r="BS38" s="122"/>
      <c r="BT38" s="122"/>
      <c r="BU38" s="122"/>
      <c r="BW38" s="598" t="s">
        <v>688</v>
      </c>
      <c r="BX38" s="598">
        <v>60</v>
      </c>
      <c r="BY38" s="598">
        <v>180</v>
      </c>
      <c r="BZ38" s="124">
        <v>1</v>
      </c>
      <c r="CA38" s="124">
        <v>1.5</v>
      </c>
      <c r="CB38" s="641">
        <v>60</v>
      </c>
      <c r="CC38" s="393">
        <v>0.8</v>
      </c>
      <c r="CD38" s="352">
        <f t="shared" si="0"/>
        <v>48</v>
      </c>
    </row>
    <row r="39" spans="1:82" ht="21" customHeight="1" x14ac:dyDescent="0.25">
      <c r="A39" s="1324"/>
      <c r="B39" s="1325"/>
      <c r="C39" s="1338"/>
      <c r="D39" s="1335"/>
      <c r="E39" s="1335"/>
      <c r="F39" s="1335"/>
      <c r="G39" s="1335"/>
      <c r="H39" s="1335"/>
      <c r="I39" s="1335"/>
      <c r="J39" s="1335"/>
      <c r="K39" s="1335"/>
      <c r="L39" s="1335"/>
      <c r="M39" s="1335"/>
      <c r="N39" s="1335"/>
      <c r="O39" s="1335"/>
      <c r="P39" s="1335"/>
      <c r="Q39" s="1335"/>
      <c r="R39" s="1335"/>
      <c r="S39" s="1336"/>
      <c r="T39" s="1337"/>
      <c r="BW39" s="580" t="s">
        <v>685</v>
      </c>
      <c r="BX39" s="580">
        <v>70</v>
      </c>
      <c r="BY39" s="580">
        <v>220</v>
      </c>
      <c r="BZ39" s="580">
        <v>1</v>
      </c>
      <c r="CA39" s="580">
        <v>1.5</v>
      </c>
      <c r="CB39" s="393">
        <v>60</v>
      </c>
      <c r="CC39" s="393">
        <v>0.8</v>
      </c>
      <c r="CD39" s="352">
        <f t="shared" si="0"/>
        <v>56</v>
      </c>
    </row>
    <row r="40" spans="1:82" ht="21" customHeight="1" x14ac:dyDescent="0.25">
      <c r="A40" s="1326"/>
      <c r="B40" s="1327"/>
      <c r="C40" s="1339"/>
      <c r="D40" s="1340"/>
      <c r="E40" s="1340"/>
      <c r="F40" s="1340"/>
      <c r="G40" s="1340"/>
      <c r="H40" s="1340"/>
      <c r="I40" s="1340"/>
      <c r="J40" s="1340"/>
      <c r="K40" s="1340"/>
      <c r="L40" s="1340"/>
      <c r="M40" s="1340"/>
      <c r="N40" s="1340"/>
      <c r="O40" s="1340"/>
      <c r="P40" s="1340"/>
      <c r="Q40" s="1340"/>
      <c r="R40" s="1340"/>
      <c r="S40" s="1341"/>
      <c r="T40" s="1342"/>
      <c r="BW40" s="124" t="s">
        <v>694</v>
      </c>
      <c r="BX40" s="124">
        <v>30</v>
      </c>
      <c r="BY40" s="592">
        <v>120</v>
      </c>
      <c r="BZ40" s="594">
        <v>2</v>
      </c>
      <c r="CA40" s="594">
        <v>3</v>
      </c>
      <c r="CB40" s="641">
        <v>90</v>
      </c>
      <c r="CC40" s="393">
        <v>1.6</v>
      </c>
      <c r="CD40" s="352">
        <f t="shared" si="0"/>
        <v>48</v>
      </c>
    </row>
    <row r="41" spans="1:82" ht="21.75" customHeight="1" x14ac:dyDescent="0.25">
      <c r="BW41" s="580" t="s">
        <v>766</v>
      </c>
      <c r="BX41" s="580">
        <v>400</v>
      </c>
      <c r="BY41" s="580">
        <v>140</v>
      </c>
      <c r="BZ41" s="580">
        <v>0.2</v>
      </c>
      <c r="CA41" s="580">
        <v>0.3</v>
      </c>
      <c r="CB41" s="641">
        <v>60</v>
      </c>
      <c r="CC41" s="393">
        <v>0.2</v>
      </c>
      <c r="CD41" s="352">
        <f t="shared" si="0"/>
        <v>80</v>
      </c>
    </row>
    <row r="42" spans="1:82" ht="21.75" customHeight="1" x14ac:dyDescent="0.25">
      <c r="A42" s="1320" t="s">
        <v>617</v>
      </c>
      <c r="B42" s="1321"/>
      <c r="C42" s="1347" t="s">
        <v>1086</v>
      </c>
      <c r="D42" s="1281"/>
      <c r="E42" s="1281"/>
      <c r="F42" s="1281"/>
      <c r="G42" s="1281"/>
      <c r="H42" s="1281"/>
      <c r="I42" s="1281"/>
      <c r="J42" s="1281"/>
      <c r="K42" s="1281"/>
      <c r="L42" s="1281"/>
      <c r="M42" s="1281"/>
      <c r="N42" s="1281"/>
      <c r="O42" s="1281"/>
      <c r="P42" s="1281"/>
      <c r="Q42" s="1348"/>
      <c r="R42" s="1348"/>
      <c r="S42" s="1349"/>
      <c r="T42" s="1349"/>
      <c r="BW42" s="240" t="s">
        <v>252</v>
      </c>
      <c r="BX42" s="240">
        <v>450</v>
      </c>
      <c r="BY42" s="240">
        <v>200</v>
      </c>
      <c r="BZ42" s="240">
        <v>0.2</v>
      </c>
      <c r="CA42" s="240">
        <v>0.3</v>
      </c>
      <c r="CB42" s="641">
        <v>60</v>
      </c>
      <c r="CC42" s="393">
        <v>0.18</v>
      </c>
      <c r="CD42" s="352">
        <f t="shared" si="0"/>
        <v>81</v>
      </c>
    </row>
    <row r="43" spans="1:82" ht="21.75" customHeight="1" x14ac:dyDescent="0.25">
      <c r="A43" s="1322"/>
      <c r="B43" s="1323"/>
      <c r="C43" s="1281"/>
      <c r="D43" s="1281"/>
      <c r="E43" s="1281"/>
      <c r="F43" s="1281"/>
      <c r="G43" s="1281"/>
      <c r="H43" s="1281"/>
      <c r="I43" s="1281"/>
      <c r="J43" s="1281"/>
      <c r="K43" s="1281"/>
      <c r="L43" s="1281"/>
      <c r="M43" s="1281"/>
      <c r="N43" s="1281"/>
      <c r="O43" s="1281"/>
      <c r="P43" s="1281"/>
      <c r="Q43" s="1348"/>
      <c r="R43" s="1348"/>
      <c r="S43" s="1349"/>
      <c r="T43" s="1349"/>
      <c r="BW43" s="80" t="s">
        <v>1300</v>
      </c>
      <c r="BX43" s="124">
        <v>300</v>
      </c>
      <c r="BY43" s="124">
        <v>205</v>
      </c>
      <c r="BZ43" s="124">
        <v>0.33300000000000002</v>
      </c>
      <c r="CA43" s="124">
        <v>0.33300000000000002</v>
      </c>
      <c r="CB43" s="641">
        <v>30</v>
      </c>
      <c r="CC43" s="393">
        <v>0.115</v>
      </c>
      <c r="CD43" s="352">
        <f t="shared" si="0"/>
        <v>34.5</v>
      </c>
    </row>
    <row r="44" spans="1:82" ht="21.75" customHeight="1" x14ac:dyDescent="0.25">
      <c r="A44" s="1343"/>
      <c r="B44" s="1344"/>
      <c r="C44" s="1281"/>
      <c r="D44" s="1281"/>
      <c r="E44" s="1281"/>
      <c r="F44" s="1281"/>
      <c r="G44" s="1281"/>
      <c r="H44" s="1281"/>
      <c r="I44" s="1281"/>
      <c r="J44" s="1281"/>
      <c r="K44" s="1281"/>
      <c r="L44" s="1281"/>
      <c r="M44" s="1281"/>
      <c r="N44" s="1281"/>
      <c r="O44" s="1281"/>
      <c r="P44" s="1281"/>
      <c r="Q44" s="1348"/>
      <c r="R44" s="1348"/>
      <c r="S44" s="1349"/>
      <c r="T44" s="1349"/>
      <c r="BW44" s="240" t="s">
        <v>700</v>
      </c>
      <c r="BX44" s="240">
        <v>450</v>
      </c>
      <c r="BY44" s="240">
        <v>180</v>
      </c>
      <c r="BZ44" s="240">
        <v>0.2</v>
      </c>
      <c r="CA44" s="240">
        <v>0.3</v>
      </c>
      <c r="CB44" s="641">
        <v>90</v>
      </c>
      <c r="CC44" s="596">
        <v>0.18</v>
      </c>
      <c r="CD44" s="352">
        <f t="shared" si="0"/>
        <v>81</v>
      </c>
    </row>
    <row r="45" spans="1:82" ht="15.75" customHeight="1" x14ac:dyDescent="0.25">
      <c r="A45" s="1345"/>
      <c r="B45" s="1346"/>
      <c r="C45" s="1347" t="s">
        <v>594</v>
      </c>
      <c r="D45" s="1281"/>
      <c r="E45" s="1281"/>
      <c r="F45" s="1281"/>
      <c r="G45" s="1281"/>
      <c r="H45" s="1281"/>
      <c r="I45" s="1281"/>
      <c r="J45" s="1281"/>
      <c r="K45" s="1281"/>
      <c r="L45" s="1281"/>
      <c r="M45" s="1281"/>
      <c r="N45" s="1281"/>
      <c r="O45" s="1348"/>
      <c r="P45" s="1348"/>
      <c r="Q45" s="1348"/>
      <c r="R45" s="1348"/>
      <c r="S45" s="1349"/>
      <c r="T45" s="1349"/>
      <c r="BW45" s="644" t="s">
        <v>773</v>
      </c>
      <c r="BX45" s="644">
        <v>30</v>
      </c>
      <c r="BY45" s="644">
        <v>100</v>
      </c>
      <c r="BZ45" s="644">
        <v>2</v>
      </c>
      <c r="CA45" s="644">
        <v>3</v>
      </c>
      <c r="CB45" s="393">
        <v>60</v>
      </c>
      <c r="CC45" s="393">
        <v>1.3</v>
      </c>
      <c r="CD45" s="352">
        <f t="shared" si="0"/>
        <v>39</v>
      </c>
    </row>
    <row r="46" spans="1:82" ht="12.75" customHeight="1" x14ac:dyDescent="0.25">
      <c r="BW46" s="598" t="s">
        <v>775</v>
      </c>
      <c r="BX46" s="598">
        <v>30</v>
      </c>
      <c r="BY46" s="598">
        <v>260</v>
      </c>
      <c r="BZ46" s="598">
        <v>5</v>
      </c>
      <c r="CA46" s="598">
        <v>7.5</v>
      </c>
      <c r="CB46" s="598">
        <v>60</v>
      </c>
      <c r="CC46" s="598">
        <v>1.3</v>
      </c>
      <c r="CD46" s="352">
        <f t="shared" si="0"/>
        <v>39</v>
      </c>
    </row>
    <row r="47" spans="1:82" ht="12.75" customHeight="1" x14ac:dyDescent="0.25">
      <c r="BW47" s="240" t="s">
        <v>699</v>
      </c>
      <c r="BX47" s="240">
        <v>500</v>
      </c>
      <c r="BY47" s="240">
        <v>150</v>
      </c>
      <c r="BZ47" s="240">
        <v>0.2</v>
      </c>
      <c r="CA47" s="224">
        <v>0.3</v>
      </c>
      <c r="CB47" s="641">
        <v>90</v>
      </c>
      <c r="CC47" s="393">
        <v>0.1</v>
      </c>
      <c r="CD47" s="352">
        <f t="shared" si="0"/>
        <v>50</v>
      </c>
    </row>
    <row r="48" spans="1:82" ht="12.75" customHeight="1" x14ac:dyDescent="0.25">
      <c r="BW48" s="124" t="s">
        <v>92</v>
      </c>
      <c r="BX48" s="124">
        <v>70</v>
      </c>
      <c r="BY48" s="124">
        <v>180</v>
      </c>
      <c r="BZ48" s="124">
        <v>1</v>
      </c>
      <c r="CA48" s="124">
        <v>1.5</v>
      </c>
      <c r="CB48" s="641">
        <v>90</v>
      </c>
      <c r="CC48" s="393">
        <v>0.8</v>
      </c>
      <c r="CD48" s="352">
        <f t="shared" si="0"/>
        <v>56</v>
      </c>
    </row>
    <row r="49" spans="22:82" ht="17.25" customHeight="1" x14ac:dyDescent="0.25">
      <c r="BW49" s="580" t="s">
        <v>765</v>
      </c>
      <c r="BX49" s="580">
        <v>350</v>
      </c>
      <c r="BY49" s="580">
        <v>210</v>
      </c>
      <c r="BZ49" s="580">
        <v>0.2</v>
      </c>
      <c r="CA49" s="580">
        <v>0.3</v>
      </c>
      <c r="CB49" s="641">
        <v>90</v>
      </c>
      <c r="CC49" s="393">
        <v>0.23</v>
      </c>
      <c r="CD49" s="352">
        <f t="shared" si="0"/>
        <v>80.5</v>
      </c>
    </row>
    <row r="50" spans="22:82" ht="15.75" customHeight="1" x14ac:dyDescent="0.25">
      <c r="BW50" s="580" t="s">
        <v>767</v>
      </c>
      <c r="BX50" s="580">
        <v>350</v>
      </c>
      <c r="BY50" s="580">
        <v>180</v>
      </c>
      <c r="BZ50" s="580">
        <v>0.2</v>
      </c>
      <c r="CA50" s="580">
        <v>0.3</v>
      </c>
      <c r="CB50" s="641">
        <v>90</v>
      </c>
      <c r="CC50" s="393">
        <v>0.23</v>
      </c>
      <c r="CD50" s="352">
        <f t="shared" si="0"/>
        <v>80.5</v>
      </c>
    </row>
    <row r="51" spans="22:82" ht="15.75" customHeight="1" x14ac:dyDescent="0.25">
      <c r="BW51" s="598" t="s">
        <v>726</v>
      </c>
      <c r="BX51" s="598">
        <v>350</v>
      </c>
      <c r="BY51" s="598">
        <v>140</v>
      </c>
      <c r="BZ51" s="598">
        <v>0.15</v>
      </c>
      <c r="CA51" s="598">
        <v>0.23</v>
      </c>
      <c r="CB51" s="641">
        <v>90</v>
      </c>
      <c r="CC51" s="393">
        <v>0.23</v>
      </c>
      <c r="CD51" s="352">
        <f t="shared" si="0"/>
        <v>80.5</v>
      </c>
    </row>
    <row r="52" spans="22:82" ht="15.75" customHeight="1" x14ac:dyDescent="0.25">
      <c r="V52" s="147"/>
      <c r="W52" s="147"/>
      <c r="BW52" s="598" t="s">
        <v>741</v>
      </c>
      <c r="BX52" s="598">
        <v>350</v>
      </c>
      <c r="BY52" s="598">
        <v>100</v>
      </c>
      <c r="BZ52" s="598">
        <v>0.1</v>
      </c>
      <c r="CA52" s="598">
        <v>0.15</v>
      </c>
      <c r="CB52" s="641">
        <v>90</v>
      </c>
      <c r="CC52" s="393">
        <v>0.23</v>
      </c>
      <c r="CD52" s="352">
        <f t="shared" si="0"/>
        <v>80.5</v>
      </c>
    </row>
    <row r="53" spans="22:82" ht="15.75" customHeight="1" x14ac:dyDescent="0.25">
      <c r="AE53" s="124"/>
      <c r="AF53" s="124"/>
      <c r="AG53" s="124"/>
      <c r="BW53" s="124" t="s">
        <v>703</v>
      </c>
      <c r="BX53" s="124">
        <v>40</v>
      </c>
      <c r="BY53" s="124">
        <v>200</v>
      </c>
      <c r="BZ53" s="124">
        <v>2</v>
      </c>
      <c r="CA53" s="124">
        <v>3</v>
      </c>
      <c r="CB53" s="641">
        <v>90</v>
      </c>
      <c r="CC53" s="393">
        <v>1.8</v>
      </c>
      <c r="CD53" s="352">
        <f t="shared" si="0"/>
        <v>72</v>
      </c>
    </row>
    <row r="54" spans="22:82" ht="15.75" customHeight="1" x14ac:dyDescent="0.25">
      <c r="AE54" s="124"/>
      <c r="AF54" s="124"/>
      <c r="AG54" s="124"/>
      <c r="BW54" s="124" t="s">
        <v>157</v>
      </c>
      <c r="BX54" s="124">
        <v>70</v>
      </c>
      <c r="BY54" s="124">
        <v>170</v>
      </c>
      <c r="BZ54" s="124">
        <v>1</v>
      </c>
      <c r="CA54" s="124">
        <v>1.5</v>
      </c>
      <c r="CB54" s="641">
        <v>90</v>
      </c>
      <c r="CC54" s="393">
        <v>0.8</v>
      </c>
      <c r="CD54" s="352">
        <f t="shared" si="0"/>
        <v>56</v>
      </c>
    </row>
    <row r="55" spans="22:82" ht="15.75" customHeight="1" x14ac:dyDescent="0.25">
      <c r="AE55" s="124"/>
      <c r="AF55" s="124"/>
      <c r="AG55" s="124"/>
      <c r="BW55" s="124" t="s">
        <v>156</v>
      </c>
      <c r="BX55" s="124">
        <v>70</v>
      </c>
      <c r="BY55" s="124">
        <v>190</v>
      </c>
      <c r="BZ55" s="124">
        <v>1</v>
      </c>
      <c r="CA55" s="124">
        <v>1.5</v>
      </c>
      <c r="CB55" s="641">
        <v>90</v>
      </c>
      <c r="CC55" s="393">
        <v>0.8</v>
      </c>
      <c r="CD55" s="352">
        <f t="shared" si="0"/>
        <v>56</v>
      </c>
    </row>
    <row r="56" spans="22:82" ht="15.75" customHeight="1" x14ac:dyDescent="0.25">
      <c r="AE56" s="124"/>
      <c r="AF56" s="124"/>
      <c r="AG56" s="124"/>
      <c r="AI56" s="124"/>
      <c r="AJ56" s="124"/>
      <c r="BW56" s="124" t="s">
        <v>222</v>
      </c>
      <c r="BX56" s="124">
        <v>80</v>
      </c>
      <c r="BY56" s="124">
        <v>230</v>
      </c>
      <c r="BZ56" s="124">
        <v>1</v>
      </c>
      <c r="CA56" s="124">
        <v>1.5</v>
      </c>
      <c r="CB56" s="641">
        <v>90</v>
      </c>
      <c r="CC56" s="393">
        <v>0.8</v>
      </c>
      <c r="CD56" s="352">
        <f t="shared" si="0"/>
        <v>64</v>
      </c>
    </row>
    <row r="57" spans="22:82" ht="15.75" customHeight="1" x14ac:dyDescent="0.25">
      <c r="AE57" s="124"/>
      <c r="AF57" s="124"/>
      <c r="AG57" s="124"/>
      <c r="BW57" s="124" t="s">
        <v>686</v>
      </c>
      <c r="BX57" s="124">
        <v>80</v>
      </c>
      <c r="BY57" s="124">
        <v>210</v>
      </c>
      <c r="BZ57" s="124">
        <v>1</v>
      </c>
      <c r="CA57" s="124">
        <v>1.5</v>
      </c>
      <c r="CB57" s="641">
        <v>90</v>
      </c>
      <c r="CC57" s="393">
        <v>0.8</v>
      </c>
      <c r="CD57" s="352">
        <f t="shared" si="0"/>
        <v>64</v>
      </c>
    </row>
    <row r="58" spans="22:82" ht="15.75" customHeight="1" x14ac:dyDescent="0.25">
      <c r="V58" s="166"/>
      <c r="W58" s="166"/>
      <c r="AE58" s="124"/>
      <c r="AF58" s="124"/>
      <c r="AG58" s="124"/>
      <c r="BW58" s="124" t="s">
        <v>223</v>
      </c>
      <c r="BX58" s="124">
        <v>80</v>
      </c>
      <c r="BY58" s="124">
        <v>260</v>
      </c>
      <c r="BZ58" s="124">
        <v>1</v>
      </c>
      <c r="CA58" s="124">
        <v>1.5</v>
      </c>
      <c r="CB58" s="641">
        <v>90</v>
      </c>
      <c r="CC58" s="393">
        <v>0.8</v>
      </c>
      <c r="CD58" s="352">
        <f t="shared" si="0"/>
        <v>64</v>
      </c>
    </row>
    <row r="59" spans="22:82" ht="15.75" customHeight="1" x14ac:dyDescent="0.25">
      <c r="V59" s="166"/>
      <c r="W59" s="166"/>
      <c r="BW59" s="580" t="s">
        <v>758</v>
      </c>
      <c r="BX59" s="580">
        <v>80</v>
      </c>
      <c r="BY59" s="580">
        <v>180</v>
      </c>
      <c r="BZ59" s="580">
        <v>1</v>
      </c>
      <c r="CA59" s="580">
        <v>1.5</v>
      </c>
      <c r="CB59" s="641">
        <v>90</v>
      </c>
      <c r="CC59" s="393">
        <v>0.8</v>
      </c>
      <c r="CD59" s="352">
        <f t="shared" si="0"/>
        <v>64</v>
      </c>
    </row>
    <row r="60" spans="22:82" ht="15.75" customHeight="1" x14ac:dyDescent="0.25">
      <c r="BT60" s="391"/>
      <c r="BU60" s="391"/>
      <c r="BW60" s="124" t="s">
        <v>126</v>
      </c>
      <c r="BX60" s="124">
        <v>650</v>
      </c>
      <c r="BY60" s="124">
        <v>170</v>
      </c>
      <c r="BZ60" s="593">
        <v>0.1</v>
      </c>
      <c r="CA60" s="593">
        <v>0.15</v>
      </c>
      <c r="CB60" s="641">
        <v>90</v>
      </c>
      <c r="CC60" s="393">
        <v>0.1</v>
      </c>
      <c r="CD60" s="352">
        <f t="shared" si="0"/>
        <v>65</v>
      </c>
    </row>
    <row r="61" spans="22:82" ht="15.75" customHeight="1" x14ac:dyDescent="0.25">
      <c r="BW61" s="124" t="s">
        <v>698</v>
      </c>
      <c r="BX61" s="124">
        <v>600</v>
      </c>
      <c r="BY61" s="124">
        <v>155</v>
      </c>
      <c r="BZ61" s="596">
        <v>0.16666700000000001</v>
      </c>
      <c r="CA61" s="596">
        <v>0.16666700000000001</v>
      </c>
      <c r="CB61" s="641">
        <v>60</v>
      </c>
      <c r="CC61" s="393">
        <v>0.08</v>
      </c>
      <c r="CD61" s="352">
        <f t="shared" si="0"/>
        <v>48</v>
      </c>
    </row>
    <row r="62" spans="22:82" ht="15.75" customHeight="1" x14ac:dyDescent="0.25">
      <c r="CC62" s="641"/>
    </row>
    <row r="63" spans="22:82" ht="15.75" customHeight="1" x14ac:dyDescent="0.25">
      <c r="BX63" s="60" t="s">
        <v>5</v>
      </c>
      <c r="CC63" s="641"/>
    </row>
    <row r="64" spans="22:82" ht="15.75" customHeight="1" x14ac:dyDescent="0.25">
      <c r="BW64" s="41" t="s">
        <v>6</v>
      </c>
      <c r="CC64" s="641"/>
    </row>
    <row r="65" spans="74:81" ht="15.75" customHeight="1" x14ac:dyDescent="0.25">
      <c r="BW65" s="17" t="s">
        <v>510</v>
      </c>
      <c r="BX65" s="124">
        <v>0</v>
      </c>
      <c r="CC65" s="641"/>
    </row>
    <row r="66" spans="74:81" ht="15.75" customHeight="1" x14ac:dyDescent="0.25">
      <c r="BW66" s="17" t="s">
        <v>22</v>
      </c>
      <c r="BX66" s="124">
        <v>10</v>
      </c>
    </row>
    <row r="67" spans="74:81" ht="15.75" customHeight="1" x14ac:dyDescent="0.25">
      <c r="BW67" s="17" t="s">
        <v>535</v>
      </c>
      <c r="BX67" s="124">
        <v>10</v>
      </c>
    </row>
    <row r="68" spans="74:81" ht="15.75" customHeight="1" x14ac:dyDescent="0.25">
      <c r="BW68" s="17" t="s">
        <v>7</v>
      </c>
      <c r="BX68" s="124">
        <v>10</v>
      </c>
    </row>
    <row r="69" spans="74:81" ht="15.75" customHeight="1" x14ac:dyDescent="0.25">
      <c r="BW69" s="17" t="s">
        <v>17</v>
      </c>
      <c r="BX69" s="124">
        <v>20</v>
      </c>
      <c r="BZ69" s="60"/>
    </row>
    <row r="70" spans="74:81" ht="15.75" customHeight="1" x14ac:dyDescent="0.25">
      <c r="BW70" s="17" t="s">
        <v>23</v>
      </c>
      <c r="BX70" s="124">
        <v>0</v>
      </c>
    </row>
    <row r="71" spans="74:81" ht="15.75" customHeight="1" x14ac:dyDescent="0.25">
      <c r="BW71" s="17" t="s">
        <v>20</v>
      </c>
      <c r="BX71" s="124">
        <v>20</v>
      </c>
    </row>
    <row r="72" spans="74:81" ht="15.75" customHeight="1" x14ac:dyDescent="0.25">
      <c r="BW72" s="17" t="s">
        <v>19</v>
      </c>
      <c r="BX72" s="124">
        <v>10</v>
      </c>
    </row>
    <row r="73" spans="74:81" ht="15.75" customHeight="1" x14ac:dyDescent="0.25">
      <c r="BW73" s="17" t="s">
        <v>536</v>
      </c>
      <c r="BX73" s="124">
        <v>0</v>
      </c>
    </row>
    <row r="74" spans="74:81" ht="15.75" customHeight="1" x14ac:dyDescent="0.25">
      <c r="BW74" s="17" t="s">
        <v>21</v>
      </c>
      <c r="BX74" s="124">
        <v>10</v>
      </c>
    </row>
    <row r="75" spans="74:81" ht="15.75" customHeight="1" x14ac:dyDescent="0.25">
      <c r="BW75" s="17" t="s">
        <v>18</v>
      </c>
      <c r="BX75" s="124">
        <v>20</v>
      </c>
    </row>
    <row r="76" spans="74:81" ht="15.75" customHeight="1" x14ac:dyDescent="0.25"/>
    <row r="77" spans="74:81" ht="15.75" customHeight="1" x14ac:dyDescent="0.25">
      <c r="BW77" s="41" t="s">
        <v>8</v>
      </c>
    </row>
    <row r="78" spans="74:81" ht="15.75" customHeight="1" x14ac:dyDescent="0.25">
      <c r="BW78" s="17" t="s">
        <v>25</v>
      </c>
      <c r="BX78" s="124">
        <v>0</v>
      </c>
    </row>
    <row r="79" spans="74:81" ht="15.75" customHeight="1" x14ac:dyDescent="0.25">
      <c r="BW79" s="17" t="s">
        <v>538</v>
      </c>
      <c r="BX79" s="124">
        <v>0</v>
      </c>
    </row>
    <row r="80" spans="74:81" ht="15.75" customHeight="1" x14ac:dyDescent="0.25">
      <c r="BV80" s="17"/>
      <c r="BW80" s="17" t="s">
        <v>537</v>
      </c>
      <c r="BX80" s="124">
        <v>20</v>
      </c>
    </row>
    <row r="81" spans="74:76" ht="15.75" customHeight="1" x14ac:dyDescent="0.25">
      <c r="BV81" s="17"/>
      <c r="BW81" s="17" t="s">
        <v>28</v>
      </c>
      <c r="BX81" s="124">
        <v>10</v>
      </c>
    </row>
    <row r="82" spans="74:76" ht="15.75" customHeight="1" x14ac:dyDescent="0.25">
      <c r="BW82" s="17" t="s">
        <v>540</v>
      </c>
      <c r="BX82" s="124">
        <v>10</v>
      </c>
    </row>
    <row r="83" spans="74:76" ht="15.75" customHeight="1" x14ac:dyDescent="0.25">
      <c r="BW83" s="17" t="s">
        <v>679</v>
      </c>
      <c r="BX83" s="124">
        <v>30</v>
      </c>
    </row>
    <row r="84" spans="74:76" ht="15.75" customHeight="1" x14ac:dyDescent="0.25">
      <c r="BW84" s="17" t="s">
        <v>539</v>
      </c>
      <c r="BX84" s="124">
        <v>40</v>
      </c>
    </row>
    <row r="85" spans="74:76" ht="15.75" customHeight="1" x14ac:dyDescent="0.25">
      <c r="BW85" s="17" t="s">
        <v>9</v>
      </c>
      <c r="BX85" s="124">
        <v>0</v>
      </c>
    </row>
    <row r="86" spans="74:76" ht="15.75" customHeight="1" x14ac:dyDescent="0.25">
      <c r="BW86" s="17" t="s">
        <v>10</v>
      </c>
      <c r="BX86" s="124">
        <v>10</v>
      </c>
    </row>
    <row r="87" spans="74:76" ht="15.75" customHeight="1" x14ac:dyDescent="0.25">
      <c r="BW87" s="17" t="s">
        <v>31</v>
      </c>
      <c r="BX87" s="124">
        <v>0</v>
      </c>
    </row>
    <row r="88" spans="74:76" ht="15.75" customHeight="1" x14ac:dyDescent="0.25"/>
    <row r="89" spans="74:76" ht="15.75" customHeight="1" x14ac:dyDescent="0.25">
      <c r="BW89" s="41" t="s">
        <v>159</v>
      </c>
    </row>
    <row r="90" spans="74:76" ht="15.75" customHeight="1" x14ac:dyDescent="0.25">
      <c r="BW90" s="17" t="s">
        <v>230</v>
      </c>
      <c r="BX90" s="124">
        <v>20</v>
      </c>
    </row>
    <row r="91" spans="74:76" ht="15.75" customHeight="1" x14ac:dyDescent="0.25">
      <c r="BW91" s="17" t="s">
        <v>160</v>
      </c>
      <c r="BX91" s="124">
        <v>0</v>
      </c>
    </row>
    <row r="92" spans="74:76" ht="15.75" customHeight="1" x14ac:dyDescent="0.25"/>
    <row r="93" spans="74:76" ht="15" customHeight="1" x14ac:dyDescent="0.25"/>
    <row r="94" spans="74:76" ht="58.5" customHeight="1" x14ac:dyDescent="0.25"/>
    <row r="95" spans="74:76" ht="36" customHeight="1" x14ac:dyDescent="0.25"/>
    <row r="96" spans="74:76" ht="15.75" customHeight="1" x14ac:dyDescent="0.25"/>
    <row r="97" ht="15.75" customHeight="1" x14ac:dyDescent="0.25"/>
    <row r="98" ht="15.75" customHeight="1" x14ac:dyDescent="0.25"/>
    <row r="99" ht="15.75" customHeight="1" x14ac:dyDescent="0.25"/>
    <row r="111" ht="17.25" customHeight="1" x14ac:dyDescent="0.25"/>
  </sheetData>
  <sheetProtection sheet="1" objects="1" scenarios="1" formatCells="0" formatColumns="0" formatRows="0" selectLockedCells="1"/>
  <mergeCells count="44">
    <mergeCell ref="C1:D1"/>
    <mergeCell ref="I1:J1"/>
    <mergeCell ref="L1:P3"/>
    <mergeCell ref="C2:D2"/>
    <mergeCell ref="E2:G3"/>
    <mergeCell ref="I2:J2"/>
    <mergeCell ref="BG2:BQ4"/>
    <mergeCell ref="C3:D3"/>
    <mergeCell ref="A4:T4"/>
    <mergeCell ref="V4:BE4"/>
    <mergeCell ref="A5:T5"/>
    <mergeCell ref="V5:BE5"/>
    <mergeCell ref="BG5:BK6"/>
    <mergeCell ref="BM5:BQ6"/>
    <mergeCell ref="A6:A7"/>
    <mergeCell ref="B6:B7"/>
    <mergeCell ref="AZ6:BE6"/>
    <mergeCell ref="V6:V7"/>
    <mergeCell ref="W6:W7"/>
    <mergeCell ref="X6:AC6"/>
    <mergeCell ref="AE6:AJ6"/>
    <mergeCell ref="Q6:R6"/>
    <mergeCell ref="S6:T6"/>
    <mergeCell ref="K6:K7"/>
    <mergeCell ref="L6:L7"/>
    <mergeCell ref="M6:M7"/>
    <mergeCell ref="N6:N7"/>
    <mergeCell ref="O6:O7"/>
    <mergeCell ref="A42:B45"/>
    <mergeCell ref="C42:T44"/>
    <mergeCell ref="C45:T45"/>
    <mergeCell ref="AL6:AQ6"/>
    <mergeCell ref="AS6:AX6"/>
    <mergeCell ref="P6:P7"/>
    <mergeCell ref="C6:C7"/>
    <mergeCell ref="D6:E6"/>
    <mergeCell ref="F6:G6"/>
    <mergeCell ref="H6:H7"/>
    <mergeCell ref="I6:I7"/>
    <mergeCell ref="J6:J7"/>
    <mergeCell ref="R33:R34"/>
    <mergeCell ref="T33:T34"/>
    <mergeCell ref="A36:B40"/>
    <mergeCell ref="C36:T40"/>
  </mergeCells>
  <dataValidations count="4">
    <dataValidation type="list" allowBlank="1" sqref="J8:J31" xr:uid="{A97D5017-5496-4B9E-944B-42A00812D7B6}">
      <formula1>BW$78:BW$87</formula1>
    </dataValidation>
    <dataValidation type="list" allowBlank="1" sqref="H8:H31" xr:uid="{13E207FE-E8FE-4504-A9E6-4B0C8643561E}">
      <formula1>BW$65:BW$75</formula1>
    </dataValidation>
    <dataValidation type="list" allowBlank="1" sqref="N8:N31" xr:uid="{CF159A7F-3836-43D4-AEB0-46E6C18EACAB}">
      <formula1>BW$90:BW$91</formula1>
    </dataValidation>
    <dataValidation type="list" allowBlank="1" sqref="C8:C31" xr:uid="{42573B05-EEF2-4B2F-B2DA-F9BBED1269A3}">
      <formula1>BW$3:BW$61</formula1>
    </dataValidation>
  </dataValidations>
  <pageMargins left="0.78740157480314965" right="0.23622047244094491" top="0.74803149606299213" bottom="0.74803149606299213" header="0.31496062992125984" footer="0.31496062992125984"/>
  <pageSetup paperSize="9" scale="59" fitToHeight="0" orientation="landscape" horizontalDpi="4294967293" verticalDpi="4294967293" r:id="rId1"/>
  <rowBreaks count="1" manualBreakCount="1">
    <brk id="32" max="56" man="1"/>
  </rowBreaks>
  <colBreaks count="1" manualBreakCount="1">
    <brk id="21" max="31" man="1"/>
  </colBreaks>
  <extLst>
    <ext xmlns:x14="http://schemas.microsoft.com/office/spreadsheetml/2009/9/main" uri="{CCE6A557-97BC-4b89-ADB6-D9C93CAAB3DF}">
      <x14:dataValidations xmlns:xm="http://schemas.microsoft.com/office/excel/2006/main" count="1">
        <x14:dataValidation type="list" allowBlank="1" showInputMessage="1" showErrorMessage="1" xr:uid="{A34FED9F-7105-4941-92F5-DFE64258E396}">
          <x14:formula1>
            <xm:f>Düngemittel!$B$6:$B$64</xm:f>
          </x14:formula1>
          <xm:sqref>Y8:Y31 AF8:AF31 AM8:AM31 AT8:AT31 BA8:BA31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CG111"/>
  <sheetViews>
    <sheetView tabSelected="1" topLeftCell="A3" zoomScale="90" zoomScaleNormal="90" workbookViewId="0">
      <selection activeCell="H8" sqref="H8"/>
    </sheetView>
  </sheetViews>
  <sheetFormatPr baseColWidth="10" defaultRowHeight="15.75" x14ac:dyDescent="0.25"/>
  <cols>
    <col min="1" max="1" width="20.42578125" style="112" customWidth="1"/>
    <col min="2" max="2" width="8.7109375" style="80" customWidth="1"/>
    <col min="3" max="3" width="22.140625" style="80" customWidth="1"/>
    <col min="4" max="4" width="6.85546875" style="112" customWidth="1"/>
    <col min="5" max="6" width="8.5703125" style="80" customWidth="1"/>
    <col min="7" max="7" width="11.140625" style="80" customWidth="1"/>
    <col min="8" max="8" width="16.28515625" style="80" customWidth="1"/>
    <col min="9" max="9" width="5.42578125" style="80" customWidth="1"/>
    <col min="10" max="10" width="16.7109375" style="80" customWidth="1"/>
    <col min="11" max="11" width="4.28515625" style="80" customWidth="1"/>
    <col min="12" max="12" width="6.85546875" style="80" customWidth="1"/>
    <col min="13" max="14" width="8" style="80" customWidth="1"/>
    <col min="15" max="15" width="4" style="80" customWidth="1"/>
    <col min="16" max="16" width="12" style="80" customWidth="1"/>
    <col min="17" max="17" width="8.85546875" style="112" customWidth="1"/>
    <col min="18" max="18" width="9.7109375" style="241" customWidth="1"/>
    <col min="19" max="19" width="8.85546875" style="241" customWidth="1"/>
    <col min="20" max="20" width="9.140625" style="80" customWidth="1"/>
    <col min="21" max="21" width="1.85546875" style="80" customWidth="1"/>
    <col min="22" max="22" width="14.7109375" style="80" customWidth="1"/>
    <col min="23" max="23" width="12.85546875" style="80" customWidth="1"/>
    <col min="24" max="24" width="10.7109375" style="80" customWidth="1"/>
    <col min="25" max="25" width="13.140625" style="80" customWidth="1"/>
    <col min="26" max="26" width="5.85546875" style="80" customWidth="1"/>
    <col min="27" max="27" width="7.140625" style="80" customWidth="1"/>
    <col min="28" max="29" width="6.28515625" style="80" customWidth="1"/>
    <col min="30" max="30" width="1.28515625" style="80" customWidth="1"/>
    <col min="31" max="31" width="10" style="80" customWidth="1"/>
    <col min="32" max="32" width="12.85546875" style="80" customWidth="1"/>
    <col min="33" max="33" width="6.5703125" style="80" customWidth="1"/>
    <col min="34" max="36" width="6.85546875" style="80" customWidth="1"/>
    <col min="37" max="37" width="1.28515625" style="80" customWidth="1"/>
    <col min="38" max="38" width="10.140625" style="80" customWidth="1"/>
    <col min="39" max="39" width="12.85546875" style="80" customWidth="1"/>
    <col min="40" max="40" width="6.5703125" style="80" customWidth="1"/>
    <col min="41" max="43" width="6.140625" style="80" customWidth="1"/>
    <col min="44" max="44" width="1" style="80" customWidth="1"/>
    <col min="45" max="46" width="2.85546875" style="80" customWidth="1"/>
    <col min="47" max="47" width="3.28515625" style="80" customWidth="1"/>
    <col min="48" max="57" width="2.85546875" style="80" customWidth="1"/>
    <col min="58" max="58" width="1.5703125" style="80" customWidth="1"/>
    <col min="59" max="59" width="7.42578125" style="80" customWidth="1"/>
    <col min="60" max="61" width="5.85546875" style="80" customWidth="1"/>
    <col min="62" max="62" width="7.140625" style="80" customWidth="1"/>
    <col min="63" max="63" width="5.85546875" style="80" customWidth="1"/>
    <col min="64" max="64" width="3.140625" style="80" customWidth="1"/>
    <col min="65" max="65" width="7.85546875" style="80" customWidth="1"/>
    <col min="66" max="66" width="6.42578125" style="80" customWidth="1"/>
    <col min="67" max="67" width="6.7109375" style="80" customWidth="1"/>
    <col min="68" max="68" width="7.28515625" style="80" customWidth="1"/>
    <col min="69" max="70" width="5.5703125" style="80" customWidth="1"/>
    <col min="71" max="71" width="12.85546875" style="80" customWidth="1"/>
    <col min="72" max="73" width="5.42578125" style="390" customWidth="1"/>
    <col min="74" max="74" width="13.5703125" style="80" customWidth="1"/>
    <col min="75" max="75" width="48.85546875" style="80" customWidth="1"/>
    <col min="76" max="76" width="7" style="124" customWidth="1"/>
    <col min="77" max="77" width="16" style="124" customWidth="1"/>
    <col min="78" max="78" width="11.42578125" style="124"/>
    <col min="79" max="79" width="13" style="124" customWidth="1"/>
    <col min="80" max="80" width="29.85546875" style="641" customWidth="1"/>
    <col min="81" max="81" width="24.85546875" style="393" customWidth="1"/>
    <col min="82" max="82" width="11.42578125" style="352"/>
    <col min="83" max="16384" width="11.42578125" style="80"/>
  </cols>
  <sheetData>
    <row r="1" spans="1:85" ht="18.75" customHeight="1" x14ac:dyDescent="0.25">
      <c r="A1" s="1370" t="s">
        <v>1156</v>
      </c>
      <c r="B1" s="1371"/>
      <c r="C1" s="112" t="str">
        <f>'DüV-N-Ackerbau (1)'!C1</f>
        <v>Testbetrieb</v>
      </c>
      <c r="E1" s="448"/>
      <c r="F1" s="270" t="s">
        <v>235</v>
      </c>
      <c r="H1" s="448"/>
      <c r="I1" s="1352" t="s">
        <v>34</v>
      </c>
      <c r="J1" s="1353"/>
      <c r="K1" s="448"/>
      <c r="L1" s="1291" t="s">
        <v>1075</v>
      </c>
      <c r="M1" s="1292"/>
      <c r="N1" s="1292"/>
      <c r="O1" s="1292"/>
      <c r="P1" s="1376"/>
      <c r="Q1" s="1372" t="s">
        <v>1157</v>
      </c>
      <c r="R1" s="1372"/>
      <c r="S1" s="477"/>
      <c r="T1" s="449"/>
      <c r="V1" s="1370" t="s">
        <v>1156</v>
      </c>
      <c r="W1" s="1371"/>
      <c r="X1" s="1373" t="s">
        <v>1206</v>
      </c>
      <c r="Y1" s="1373"/>
      <c r="Z1" s="1373"/>
      <c r="AA1" s="1373"/>
      <c r="AB1" s="1373"/>
      <c r="AC1" s="1373"/>
      <c r="AD1" s="1374"/>
      <c r="AE1" s="1374"/>
      <c r="AF1" s="1374"/>
      <c r="AG1" s="1374"/>
      <c r="AH1" s="1374"/>
      <c r="AI1" s="1374"/>
      <c r="AJ1" s="1374"/>
      <c r="AK1" s="1375"/>
      <c r="AL1" s="1375"/>
      <c r="AM1" s="1375"/>
      <c r="AN1" s="1375"/>
      <c r="AO1" s="1375"/>
      <c r="AP1" s="1375"/>
      <c r="AQ1" s="1375"/>
      <c r="AR1" s="1375"/>
      <c r="AS1" s="1375"/>
      <c r="AT1" s="1375"/>
      <c r="AU1" s="1375"/>
      <c r="AV1" s="1375"/>
      <c r="AW1" s="1375"/>
      <c r="AX1" s="1375"/>
      <c r="AY1" s="1375"/>
      <c r="AZ1" s="1375"/>
      <c r="BA1" s="1375"/>
      <c r="BB1" s="1375"/>
      <c r="BC1" s="1375"/>
      <c r="BD1" s="1375"/>
      <c r="BE1" s="1375"/>
      <c r="BG1" s="1378" t="s">
        <v>1168</v>
      </c>
      <c r="BH1" s="1379"/>
      <c r="BI1" s="1379"/>
      <c r="BJ1" s="1379"/>
      <c r="BK1" s="1379"/>
      <c r="BL1" s="1379"/>
      <c r="BM1" s="1379"/>
      <c r="BN1" s="1379"/>
      <c r="BO1" s="1379"/>
      <c r="BP1" s="1379"/>
      <c r="BQ1" s="1380"/>
      <c r="BW1" s="519" t="s">
        <v>237</v>
      </c>
      <c r="BX1" s="519" t="s">
        <v>33</v>
      </c>
      <c r="BY1" s="519" t="s">
        <v>226</v>
      </c>
      <c r="BZ1" s="60" t="s">
        <v>227</v>
      </c>
      <c r="CA1" s="60" t="s">
        <v>228</v>
      </c>
      <c r="CB1" s="517" t="s">
        <v>329</v>
      </c>
      <c r="CC1" s="393" t="s">
        <v>768</v>
      </c>
      <c r="CD1" s="640" t="s">
        <v>771</v>
      </c>
    </row>
    <row r="2" spans="1:85" ht="21.75" customHeight="1" x14ac:dyDescent="0.25">
      <c r="A2" s="1371"/>
      <c r="B2" s="1371"/>
      <c r="C2" s="112">
        <f>'DüV-N-Ackerbau (1)'!C2</f>
        <v>1</v>
      </c>
      <c r="E2" s="657"/>
      <c r="F2" s="112">
        <f>'DüV-N-Ackerbau (1)'!G1</f>
        <v>2022</v>
      </c>
      <c r="G2" s="657"/>
      <c r="I2" s="1356" t="s">
        <v>36</v>
      </c>
      <c r="J2" s="1336"/>
      <c r="L2" s="1293"/>
      <c r="M2" s="1293"/>
      <c r="N2" s="1293"/>
      <c r="O2" s="1293"/>
      <c r="P2" s="1344"/>
      <c r="Q2" s="1372"/>
      <c r="R2" s="1372"/>
      <c r="S2" s="474"/>
      <c r="T2" s="503"/>
      <c r="V2" s="1371"/>
      <c r="W2" s="1371"/>
      <c r="X2" s="1373"/>
      <c r="Y2" s="1373"/>
      <c r="Z2" s="1373"/>
      <c r="AA2" s="1373"/>
      <c r="AB2" s="1373"/>
      <c r="AC2" s="1373"/>
      <c r="AD2" s="1374"/>
      <c r="AE2" s="1374"/>
      <c r="AF2" s="1374"/>
      <c r="AG2" s="1374"/>
      <c r="AH2" s="1374"/>
      <c r="AI2" s="1374"/>
      <c r="AJ2" s="1374"/>
      <c r="AK2" s="1375"/>
      <c r="AL2" s="1375"/>
      <c r="AM2" s="1375"/>
      <c r="AN2" s="1375"/>
      <c r="AO2" s="1375"/>
      <c r="AP2" s="1375"/>
      <c r="AQ2" s="1375"/>
      <c r="AR2" s="1375"/>
      <c r="AS2" s="1375"/>
      <c r="AT2" s="1375"/>
      <c r="AU2" s="1375"/>
      <c r="AV2" s="1375"/>
      <c r="AW2" s="1375"/>
      <c r="AX2" s="1375"/>
      <c r="AY2" s="1375"/>
      <c r="AZ2" s="1375"/>
      <c r="BA2" s="1375"/>
      <c r="BB2" s="1375"/>
      <c r="BC2" s="1375"/>
      <c r="BD2" s="1375"/>
      <c r="BE2" s="1375"/>
      <c r="BG2" s="1343"/>
      <c r="BH2" s="1293"/>
      <c r="BI2" s="1293"/>
      <c r="BJ2" s="1293"/>
      <c r="BK2" s="1293"/>
      <c r="BL2" s="1293"/>
      <c r="BM2" s="1293"/>
      <c r="BN2" s="1293"/>
      <c r="BO2" s="1293"/>
      <c r="BP2" s="1293"/>
      <c r="BQ2" s="1344"/>
      <c r="BW2" s="129" t="s">
        <v>774</v>
      </c>
      <c r="BX2" s="519"/>
      <c r="BY2" s="519"/>
      <c r="BZ2" s="60"/>
      <c r="CA2" s="60"/>
    </row>
    <row r="3" spans="1:85" ht="15.75" customHeight="1" thickBot="1" x14ac:dyDescent="0.3">
      <c r="A3" s="1371"/>
      <c r="B3" s="1371"/>
      <c r="C3" s="112">
        <f>'DüV-N-Ackerbau (1)'!C3</f>
        <v>123456</v>
      </c>
      <c r="E3" s="370"/>
      <c r="F3" s="370"/>
      <c r="J3" s="400"/>
      <c r="K3" s="657"/>
      <c r="L3" s="1294"/>
      <c r="M3" s="1294"/>
      <c r="N3" s="1294"/>
      <c r="O3" s="1294"/>
      <c r="P3" s="1377"/>
      <c r="Q3" s="1372"/>
      <c r="R3" s="1372"/>
      <c r="S3" s="474"/>
      <c r="T3" s="503"/>
      <c r="V3" s="1371"/>
      <c r="W3" s="1371"/>
      <c r="X3" s="1373"/>
      <c r="Y3" s="1373"/>
      <c r="Z3" s="1373"/>
      <c r="AA3" s="1373"/>
      <c r="AB3" s="1373"/>
      <c r="AC3" s="1373"/>
      <c r="AD3" s="1374"/>
      <c r="AE3" s="1374"/>
      <c r="AF3" s="1374"/>
      <c r="AG3" s="1374"/>
      <c r="AH3" s="1374"/>
      <c r="AI3" s="1374"/>
      <c r="AJ3" s="1374"/>
      <c r="AK3" s="1375"/>
      <c r="AL3" s="1375"/>
      <c r="AM3" s="1375"/>
      <c r="AN3" s="1375"/>
      <c r="AO3" s="1375"/>
      <c r="AP3" s="1375"/>
      <c r="AQ3" s="1375"/>
      <c r="AR3" s="1375"/>
      <c r="AS3" s="1375"/>
      <c r="AT3" s="1375"/>
      <c r="AU3" s="1375"/>
      <c r="AV3" s="1375"/>
      <c r="AW3" s="1375"/>
      <c r="AX3" s="1375"/>
      <c r="AY3" s="1375"/>
      <c r="AZ3" s="1375"/>
      <c r="BA3" s="1375"/>
      <c r="BB3" s="1375"/>
      <c r="BC3" s="1375"/>
      <c r="BD3" s="1375"/>
      <c r="BE3" s="1375"/>
      <c r="BF3" s="400"/>
      <c r="BG3" s="1343"/>
      <c r="BH3" s="1293"/>
      <c r="BI3" s="1293"/>
      <c r="BJ3" s="1293"/>
      <c r="BK3" s="1293"/>
      <c r="BL3" s="1293"/>
      <c r="BM3" s="1293"/>
      <c r="BN3" s="1293"/>
      <c r="BO3" s="1293"/>
      <c r="BP3" s="1293"/>
      <c r="BQ3" s="1344"/>
      <c r="BW3" s="123" t="s">
        <v>31</v>
      </c>
      <c r="BX3" s="123">
        <v>0</v>
      </c>
      <c r="BY3" s="123">
        <v>0</v>
      </c>
      <c r="BZ3" s="124">
        <v>0</v>
      </c>
      <c r="CA3" s="124">
        <v>0</v>
      </c>
      <c r="CB3" s="641">
        <v>0</v>
      </c>
      <c r="CC3" s="393">
        <v>0</v>
      </c>
      <c r="CD3" s="352">
        <f>BX3*CC3</f>
        <v>0</v>
      </c>
    </row>
    <row r="4" spans="1:85" ht="39" customHeight="1" x14ac:dyDescent="0.25">
      <c r="A4" s="1295" t="s">
        <v>1100</v>
      </c>
      <c r="B4" s="1382"/>
      <c r="C4" s="1306"/>
      <c r="D4" s="1306"/>
      <c r="E4" s="1306"/>
      <c r="F4" s="1306"/>
      <c r="G4" s="1306"/>
      <c r="H4" s="1306"/>
      <c r="I4" s="1306"/>
      <c r="J4" s="1306"/>
      <c r="K4" s="1306"/>
      <c r="L4" s="1306"/>
      <c r="M4" s="1306"/>
      <c r="N4" s="1306"/>
      <c r="O4" s="1306"/>
      <c r="P4" s="1306"/>
      <c r="Q4" s="1382"/>
      <c r="R4" s="1382"/>
      <c r="S4" s="1306"/>
      <c r="T4" s="1307"/>
      <c r="V4" s="1280" t="s">
        <v>1164</v>
      </c>
      <c r="W4" s="1281"/>
      <c r="X4" s="1281"/>
      <c r="Y4" s="1281"/>
      <c r="Z4" s="1281"/>
      <c r="AA4" s="1281"/>
      <c r="AB4" s="1281"/>
      <c r="AC4" s="1281"/>
      <c r="AD4" s="1281"/>
      <c r="AE4" s="1281"/>
      <c r="AF4" s="1281"/>
      <c r="AG4" s="1281"/>
      <c r="AH4" s="1281"/>
      <c r="AI4" s="1281"/>
      <c r="AJ4" s="1281"/>
      <c r="AK4" s="1281"/>
      <c r="AL4" s="1281"/>
      <c r="AM4" s="1281"/>
      <c r="AN4" s="1281"/>
      <c r="AO4" s="1281"/>
      <c r="AP4" s="1281"/>
      <c r="AQ4" s="1281"/>
      <c r="AR4" s="1281"/>
      <c r="AS4" s="1281"/>
      <c r="AT4" s="1281"/>
      <c r="AU4" s="1281"/>
      <c r="AV4" s="1281"/>
      <c r="AW4" s="1281"/>
      <c r="AX4" s="1281"/>
      <c r="AY4" s="1281"/>
      <c r="AZ4" s="1281"/>
      <c r="BA4" s="1281"/>
      <c r="BB4" s="1281"/>
      <c r="BC4" s="1281"/>
      <c r="BD4" s="1281"/>
      <c r="BE4" s="1281"/>
      <c r="BG4" s="1345"/>
      <c r="BH4" s="1381"/>
      <c r="BI4" s="1381"/>
      <c r="BJ4" s="1381"/>
      <c r="BK4" s="1381"/>
      <c r="BL4" s="1381"/>
      <c r="BM4" s="1381"/>
      <c r="BN4" s="1381"/>
      <c r="BO4" s="1381"/>
      <c r="BP4" s="1381"/>
      <c r="BQ4" s="1346"/>
      <c r="BW4" s="240" t="s">
        <v>244</v>
      </c>
      <c r="BX4" s="240">
        <v>20</v>
      </c>
      <c r="BY4" s="240">
        <v>80</v>
      </c>
      <c r="BZ4" s="240">
        <v>1</v>
      </c>
      <c r="CA4" s="240">
        <v>1.5</v>
      </c>
      <c r="CB4" s="641">
        <v>60</v>
      </c>
      <c r="CC4" s="393">
        <v>2</v>
      </c>
      <c r="CD4" s="352">
        <f t="shared" ref="CD4:CD61" si="0">BX4*CC4</f>
        <v>40</v>
      </c>
    </row>
    <row r="5" spans="1:85" ht="17.25" customHeight="1" thickBot="1" x14ac:dyDescent="0.3">
      <c r="A5" s="1308" t="s">
        <v>1165</v>
      </c>
      <c r="B5" s="1294"/>
      <c r="C5" s="1294"/>
      <c r="D5" s="1294"/>
      <c r="E5" s="1294"/>
      <c r="F5" s="1294"/>
      <c r="G5" s="1294"/>
      <c r="H5" s="1294"/>
      <c r="I5" s="1294"/>
      <c r="J5" s="1294"/>
      <c r="K5" s="1294"/>
      <c r="L5" s="1293"/>
      <c r="M5" s="1293"/>
      <c r="N5" s="1294"/>
      <c r="O5" s="1294"/>
      <c r="P5" s="1294"/>
      <c r="Q5" s="1294"/>
      <c r="R5" s="1294"/>
      <c r="S5" s="1294"/>
      <c r="T5" s="1309"/>
      <c r="V5" s="1288" t="s">
        <v>1033</v>
      </c>
      <c r="W5" s="1286"/>
      <c r="X5" s="1286"/>
      <c r="Y5" s="1286"/>
      <c r="Z5" s="1286"/>
      <c r="AA5" s="1286"/>
      <c r="AB5" s="1286"/>
      <c r="AC5" s="1286"/>
      <c r="AD5" s="1286"/>
      <c r="AE5" s="1286"/>
      <c r="AF5" s="1286"/>
      <c r="AG5" s="1286"/>
      <c r="AH5" s="1286"/>
      <c r="AI5" s="1286"/>
      <c r="AJ5" s="1286"/>
      <c r="AK5" s="1286"/>
      <c r="AL5" s="1286"/>
      <c r="AM5" s="1286"/>
      <c r="AN5" s="1286"/>
      <c r="AO5" s="1286"/>
      <c r="AP5" s="1286"/>
      <c r="AQ5" s="1286"/>
      <c r="AR5" s="1286"/>
      <c r="AS5" s="1286"/>
      <c r="AT5" s="1286"/>
      <c r="AU5" s="1286"/>
      <c r="AV5" s="1286"/>
      <c r="AW5" s="1286"/>
      <c r="AX5" s="1286"/>
      <c r="AY5" s="1286"/>
      <c r="AZ5" s="1286"/>
      <c r="BA5" s="1286"/>
      <c r="BB5" s="1286"/>
      <c r="BC5" s="1286"/>
      <c r="BD5" s="1286"/>
      <c r="BE5" s="1286"/>
      <c r="BG5" s="1289" t="s">
        <v>1081</v>
      </c>
      <c r="BH5" s="1289"/>
      <c r="BI5" s="1289"/>
      <c r="BJ5" s="1289"/>
      <c r="BK5" s="1289"/>
      <c r="BL5" s="393"/>
      <c r="BM5" s="1277" t="s">
        <v>1092</v>
      </c>
      <c r="BN5" s="1278"/>
      <c r="BO5" s="1278"/>
      <c r="BP5" s="1278"/>
      <c r="BQ5" s="1278"/>
      <c r="BR5" s="776"/>
      <c r="BW5" s="580" t="s">
        <v>604</v>
      </c>
      <c r="BX5" s="580">
        <v>120</v>
      </c>
      <c r="BY5" s="580">
        <v>200</v>
      </c>
      <c r="BZ5" s="580">
        <v>0.5</v>
      </c>
      <c r="CA5" s="580">
        <v>0.75</v>
      </c>
      <c r="CB5" s="641">
        <v>90</v>
      </c>
      <c r="CC5" s="393">
        <v>0.5</v>
      </c>
      <c r="CD5" s="352">
        <f t="shared" si="0"/>
        <v>60</v>
      </c>
    </row>
    <row r="6" spans="1:85" ht="35.25" customHeight="1" x14ac:dyDescent="0.25">
      <c r="A6" s="1363" t="s">
        <v>1091</v>
      </c>
      <c r="B6" s="1365" t="s">
        <v>570</v>
      </c>
      <c r="C6" s="1303" t="s">
        <v>306</v>
      </c>
      <c r="D6" s="1366" t="s">
        <v>301</v>
      </c>
      <c r="E6" s="1367"/>
      <c r="F6" s="1368" t="s">
        <v>302</v>
      </c>
      <c r="G6" s="1369"/>
      <c r="H6" s="1295" t="s">
        <v>6</v>
      </c>
      <c r="I6" s="1282" t="s">
        <v>163</v>
      </c>
      <c r="J6" s="1295" t="s">
        <v>8</v>
      </c>
      <c r="K6" s="1297" t="s">
        <v>163</v>
      </c>
      <c r="L6" s="1299" t="s">
        <v>541</v>
      </c>
      <c r="M6" s="1301" t="s">
        <v>229</v>
      </c>
      <c r="N6" s="1303" t="s">
        <v>262</v>
      </c>
      <c r="O6" s="1282" t="s">
        <v>163</v>
      </c>
      <c r="P6" s="1284" t="s">
        <v>1071</v>
      </c>
      <c r="Q6" s="1316" t="s">
        <v>1028</v>
      </c>
      <c r="R6" s="1317"/>
      <c r="S6" s="1314" t="s">
        <v>1150</v>
      </c>
      <c r="T6" s="1315"/>
      <c r="V6" s="1318" t="s">
        <v>1152</v>
      </c>
      <c r="W6" s="1287" t="s">
        <v>631</v>
      </c>
      <c r="X6" s="1312" t="s">
        <v>1102</v>
      </c>
      <c r="Y6" s="1313"/>
      <c r="Z6" s="1313"/>
      <c r="AA6" s="1313"/>
      <c r="AB6" s="1313"/>
      <c r="AC6" s="1313"/>
      <c r="AE6" s="1312" t="s">
        <v>851</v>
      </c>
      <c r="AF6" s="1313"/>
      <c r="AG6" s="1313"/>
      <c r="AH6" s="1313"/>
      <c r="AI6" s="1313"/>
      <c r="AJ6" s="1313"/>
      <c r="AL6" s="1312" t="s">
        <v>852</v>
      </c>
      <c r="AM6" s="1313"/>
      <c r="AN6" s="1313"/>
      <c r="AO6" s="1313"/>
      <c r="AP6" s="1313"/>
      <c r="AQ6" s="1313"/>
      <c r="AR6" s="112"/>
      <c r="AS6" s="1312" t="s">
        <v>853</v>
      </c>
      <c r="AT6" s="1313"/>
      <c r="AU6" s="1313"/>
      <c r="AV6" s="1313"/>
      <c r="AW6" s="1313"/>
      <c r="AX6" s="1313"/>
      <c r="AY6" s="21"/>
      <c r="AZ6" s="1312" t="s">
        <v>854</v>
      </c>
      <c r="BA6" s="1313"/>
      <c r="BB6" s="1313"/>
      <c r="BC6" s="1313"/>
      <c r="BD6" s="1313"/>
      <c r="BE6" s="1313"/>
      <c r="BG6" s="1290"/>
      <c r="BH6" s="1290"/>
      <c r="BI6" s="1290"/>
      <c r="BJ6" s="1290"/>
      <c r="BK6" s="1290"/>
      <c r="BL6" s="393"/>
      <c r="BM6" s="1279"/>
      <c r="BN6" s="1279"/>
      <c r="BO6" s="1279"/>
      <c r="BP6" s="1279"/>
      <c r="BQ6" s="1279"/>
      <c r="BR6" s="776"/>
      <c r="BW6" s="580" t="s">
        <v>759</v>
      </c>
      <c r="BX6" s="580">
        <v>60</v>
      </c>
      <c r="BY6" s="580">
        <v>200</v>
      </c>
      <c r="BZ6" s="580">
        <v>1</v>
      </c>
      <c r="CA6" s="580">
        <v>1.5</v>
      </c>
      <c r="CB6" s="641">
        <v>90</v>
      </c>
      <c r="CC6" s="393">
        <v>0.8</v>
      </c>
      <c r="CD6" s="352">
        <f t="shared" si="0"/>
        <v>48</v>
      </c>
    </row>
    <row r="7" spans="1:85" ht="66" customHeight="1" thickBot="1" x14ac:dyDescent="0.3">
      <c r="A7" s="1364"/>
      <c r="B7" s="1365"/>
      <c r="C7" s="1303"/>
      <c r="D7" s="404" t="s">
        <v>33</v>
      </c>
      <c r="E7" s="405" t="s">
        <v>303</v>
      </c>
      <c r="F7" s="658" t="s">
        <v>603</v>
      </c>
      <c r="G7" s="405" t="s">
        <v>304</v>
      </c>
      <c r="H7" s="1296"/>
      <c r="I7" s="1283"/>
      <c r="J7" s="1296"/>
      <c r="K7" s="1298"/>
      <c r="L7" s="1300"/>
      <c r="M7" s="1302"/>
      <c r="N7" s="1304"/>
      <c r="O7" s="1283"/>
      <c r="P7" s="1285"/>
      <c r="Q7" s="501" t="s">
        <v>328</v>
      </c>
      <c r="R7" s="483" t="s">
        <v>803</v>
      </c>
      <c r="S7" s="484" t="s">
        <v>605</v>
      </c>
      <c r="T7" s="483" t="s">
        <v>804</v>
      </c>
      <c r="U7" s="124"/>
      <c r="V7" s="1319"/>
      <c r="W7" s="1281"/>
      <c r="X7" s="745" t="s">
        <v>850</v>
      </c>
      <c r="Y7" s="744" t="s">
        <v>830</v>
      </c>
      <c r="Z7" s="681" t="s">
        <v>33</v>
      </c>
      <c r="AA7" s="312" t="s">
        <v>1078</v>
      </c>
      <c r="AB7" s="681" t="s">
        <v>1079</v>
      </c>
      <c r="AC7" s="312" t="s">
        <v>1080</v>
      </c>
      <c r="AE7" s="745" t="s">
        <v>850</v>
      </c>
      <c r="AF7" s="744" t="s">
        <v>830</v>
      </c>
      <c r="AG7" s="681" t="s">
        <v>33</v>
      </c>
      <c r="AH7" s="312" t="s">
        <v>1078</v>
      </c>
      <c r="AI7" s="681" t="s">
        <v>1079</v>
      </c>
      <c r="AJ7" s="312" t="s">
        <v>1080</v>
      </c>
      <c r="AK7" s="124"/>
      <c r="AL7" s="745" t="s">
        <v>850</v>
      </c>
      <c r="AM7" s="744" t="s">
        <v>830</v>
      </c>
      <c r="AN7" s="681" t="s">
        <v>33</v>
      </c>
      <c r="AO7" s="312" t="s">
        <v>1078</v>
      </c>
      <c r="AP7" s="681" t="s">
        <v>1079</v>
      </c>
      <c r="AQ7" s="312" t="s">
        <v>1080</v>
      </c>
      <c r="AR7" s="124"/>
      <c r="AS7" s="745" t="s">
        <v>850</v>
      </c>
      <c r="AT7" s="744" t="s">
        <v>830</v>
      </c>
      <c r="AU7" s="681" t="s">
        <v>33</v>
      </c>
      <c r="AV7" s="312" t="s">
        <v>1078</v>
      </c>
      <c r="AW7" s="681" t="s">
        <v>1079</v>
      </c>
      <c r="AX7" s="312" t="s">
        <v>1080</v>
      </c>
      <c r="AY7" s="124"/>
      <c r="AZ7" s="745" t="s">
        <v>850</v>
      </c>
      <c r="BA7" s="744" t="s">
        <v>830</v>
      </c>
      <c r="BB7" s="681" t="s">
        <v>33</v>
      </c>
      <c r="BC7" s="312" t="s">
        <v>1078</v>
      </c>
      <c r="BD7" s="681" t="s">
        <v>1079</v>
      </c>
      <c r="BE7" s="312" t="s">
        <v>1080</v>
      </c>
      <c r="BF7" s="60"/>
      <c r="BG7" s="775" t="s">
        <v>1096</v>
      </c>
      <c r="BH7" s="312" t="s">
        <v>1082</v>
      </c>
      <c r="BI7" s="312" t="s">
        <v>1083</v>
      </c>
      <c r="BJ7" s="699" t="s">
        <v>1268</v>
      </c>
      <c r="BK7" s="312" t="s">
        <v>290</v>
      </c>
      <c r="BL7" s="519"/>
      <c r="BM7" s="780" t="s">
        <v>1096</v>
      </c>
      <c r="BN7" s="312" t="s">
        <v>1082</v>
      </c>
      <c r="BO7" s="781" t="s">
        <v>1098</v>
      </c>
      <c r="BP7" s="699" t="s">
        <v>1268</v>
      </c>
      <c r="BQ7" s="312" t="s">
        <v>290</v>
      </c>
      <c r="BR7" s="519"/>
      <c r="BS7" s="124"/>
      <c r="BT7" s="392" t="s">
        <v>231</v>
      </c>
      <c r="BU7" s="392" t="s">
        <v>232</v>
      </c>
      <c r="BW7" s="393" t="s">
        <v>549</v>
      </c>
      <c r="BX7" s="393">
        <v>55</v>
      </c>
      <c r="BY7" s="393">
        <v>200</v>
      </c>
      <c r="BZ7" s="393">
        <v>1</v>
      </c>
      <c r="CA7" s="393">
        <v>1.5</v>
      </c>
      <c r="CB7" s="641">
        <v>60</v>
      </c>
      <c r="CC7" s="393">
        <v>0.8</v>
      </c>
      <c r="CD7" s="352">
        <f t="shared" si="0"/>
        <v>44</v>
      </c>
      <c r="CE7" s="9"/>
      <c r="CF7" s="32"/>
    </row>
    <row r="8" spans="1:85" s="124" customFormat="1" ht="26.25" customHeight="1" thickBot="1" x14ac:dyDescent="0.3">
      <c r="A8" s="379" t="s">
        <v>1302</v>
      </c>
      <c r="B8" s="1214">
        <v>10</v>
      </c>
      <c r="C8" s="599" t="s">
        <v>222</v>
      </c>
      <c r="D8" s="907">
        <f t="shared" ref="D8:D30" si="1">VLOOKUP(C8,BW$3:CA$61,2,FALSE)</f>
        <v>80</v>
      </c>
      <c r="E8" s="426">
        <f t="shared" ref="E8:E31" si="2">VLOOKUP(C8,BW$3:CA$61,3,FALSE)</f>
        <v>230</v>
      </c>
      <c r="F8" s="1205">
        <v>35</v>
      </c>
      <c r="G8" s="412">
        <f t="shared" ref="G8:G31" si="3">IF(F8&lt;=D8,E8-(D8-F8)*BU8,E8+(F8-D8)*BT8)</f>
        <v>162.5</v>
      </c>
      <c r="H8" s="604" t="s">
        <v>510</v>
      </c>
      <c r="I8" s="426">
        <f t="shared" ref="I8:I31" si="4">VLOOKUP(H8,BW$65:BX$75,2,FALSE)</f>
        <v>0</v>
      </c>
      <c r="J8" s="429" t="s">
        <v>31</v>
      </c>
      <c r="K8" s="605">
        <f t="shared" ref="K8:K31" si="5">VLOOKUP(J8,BW$78:BX$87,2,FALSE)</f>
        <v>0</v>
      </c>
      <c r="L8" s="406">
        <f t="shared" ref="L8:L31" si="6">VLOOKUP(C8,BW$3:CB$61,6,FALSE)</f>
        <v>90</v>
      </c>
      <c r="M8" s="1208">
        <v>35</v>
      </c>
      <c r="N8" s="453" t="s">
        <v>160</v>
      </c>
      <c r="O8" s="426">
        <f t="shared" ref="O8:O31" si="7">VLOOKUP(N8,BW$90:BX$91,2,FALSE)</f>
        <v>0</v>
      </c>
      <c r="P8" s="1211">
        <v>17</v>
      </c>
      <c r="Q8" s="748">
        <f>IF(G8-M8-P8-O8-I8-K8&lt;0,0,G8-M8-P8-O8-I8-K8)</f>
        <v>110.5</v>
      </c>
      <c r="R8" s="749">
        <f t="shared" ref="R8:R31" si="8">IF(Q8&lt;0,0,Q8*B8)</f>
        <v>1105</v>
      </c>
      <c r="S8" s="750">
        <f t="shared" ref="S8:S30" si="9">F8*VLOOKUP(C8,BW$3:CC$61,7,FALSE)</f>
        <v>28</v>
      </c>
      <c r="T8" s="434">
        <f>IF(S8&lt;0,0,S8*B8)</f>
        <v>280</v>
      </c>
      <c r="U8" s="80"/>
      <c r="V8" s="852" t="str">
        <f>A8</f>
        <v>Rapsweizen</v>
      </c>
      <c r="W8" s="852" t="str">
        <f>C8</f>
        <v>Winterweizen A,B</v>
      </c>
      <c r="X8" s="886">
        <v>44621</v>
      </c>
      <c r="Y8" s="887" t="s">
        <v>841</v>
      </c>
      <c r="Z8" s="906">
        <v>2</v>
      </c>
      <c r="AA8" s="687">
        <f>VLOOKUP(Y8,Düngemittel!$B$6:$E$64,2,FALSE)*(VLOOKUP(Y8,Düngemittel!$B$6:$E$64,3,FALSE))/100*Z8</f>
        <v>54</v>
      </c>
      <c r="AB8" s="687">
        <f>VLOOKUP(Y8,Düngemittel!$B$6:$E$64,2,FALSE)*Z8</f>
        <v>54</v>
      </c>
      <c r="AC8" s="687">
        <f>VLOOKUP(Y8,Düngemittel!$B$6:$E$64,4,FALSE)*Z8</f>
        <v>0</v>
      </c>
      <c r="AD8" s="80"/>
      <c r="AE8" s="886">
        <v>44650</v>
      </c>
      <c r="AF8" s="887" t="s">
        <v>842</v>
      </c>
      <c r="AG8" s="906">
        <v>2</v>
      </c>
      <c r="AH8" s="687">
        <f>VLOOKUP(AF8,Düngemittel!$B$6:$E$64,2,FALSE)*(VLOOKUP(AF8,Düngemittel!$B$6:$E$64,3,FALSE))/100*AG8</f>
        <v>52</v>
      </c>
      <c r="AI8" s="687">
        <f>VLOOKUP(AF8,Düngemittel!$B$6:$E$64,2,FALSE)*AG8</f>
        <v>52</v>
      </c>
      <c r="AJ8" s="687">
        <f>VLOOKUP(AF8,Düngemittel!$B$6:$E$64,4,FALSE)*AG8</f>
        <v>0</v>
      </c>
      <c r="AK8" s="80"/>
      <c r="AL8" s="886">
        <v>44676</v>
      </c>
      <c r="AM8" s="887" t="s">
        <v>841</v>
      </c>
      <c r="AN8" s="906">
        <v>1.5</v>
      </c>
      <c r="AO8" s="687">
        <f>VLOOKUP(AM8,Düngemittel!$B$6:$E$64,2,FALSE)*(VLOOKUP(AM8,Düngemittel!$B$6:$E$64,3,FALSE))/100*AN8</f>
        <v>40.5</v>
      </c>
      <c r="AP8" s="687">
        <f>VLOOKUP(AM8,Düngemittel!$B$6:$E$64,2,FALSE)*AN8</f>
        <v>40.5</v>
      </c>
      <c r="AQ8" s="687">
        <f>VLOOKUP(AM8,Düngemittel!$B$6:$E$64,4,FALSE)*AN8</f>
        <v>0</v>
      </c>
      <c r="AR8" s="80"/>
      <c r="AS8" s="886"/>
      <c r="AT8" s="887" t="s">
        <v>805</v>
      </c>
      <c r="AU8" s="906">
        <v>0</v>
      </c>
      <c r="AV8" s="687">
        <f>VLOOKUP(AT8,Düngemittel!$B$6:$E$64,2,FALSE)*(VLOOKUP(AT8,Düngemittel!$B$6:$E$64,3,FALSE))/100*AU8</f>
        <v>0</v>
      </c>
      <c r="AW8" s="687">
        <f>VLOOKUP(AT8,Düngemittel!$B$6:$E$64,2,FALSE)*AU8</f>
        <v>0</v>
      </c>
      <c r="AX8" s="687">
        <f>VLOOKUP(AT8,Düngemittel!$B$6:$E$64,4,FALSE)*AU8</f>
        <v>0</v>
      </c>
      <c r="AY8" s="80"/>
      <c r="AZ8" s="886"/>
      <c r="BA8" s="887" t="s">
        <v>805</v>
      </c>
      <c r="BB8" s="906">
        <v>0</v>
      </c>
      <c r="BC8" s="687">
        <f>VLOOKUP(BA8,Düngemittel!$B$6:$E$64,2,FALSE)*(VLOOKUP(BA8,Düngemittel!$B$6:$E$64,3,FALSE))/100*BB8</f>
        <v>0</v>
      </c>
      <c r="BD8" s="687">
        <f>VLOOKUP(BA8,Düngemittel!$B$6:$E$64,2,FALSE)*BB8</f>
        <v>0</v>
      </c>
      <c r="BE8" s="687">
        <f>VLOOKUP(BA8,Düngemittel!$B$6:$E$64,4,FALSE)*BB8</f>
        <v>0</v>
      </c>
      <c r="BF8" s="80"/>
      <c r="BG8" s="853">
        <f>IF(AA8&lt;AB8,0,AA8)+IF(AH8&lt;AI8,0,AH8)+IF(AO8&lt;AP8,0,AO8)+IF(AV8&lt;AW8,0,AV8)+IF(BC8&lt;BD8,0,BC8)</f>
        <v>146.5</v>
      </c>
      <c r="BH8" s="308">
        <f>(AA8+AH8+AO8+AV8+BC8)</f>
        <v>146.5</v>
      </c>
      <c r="BI8" s="853">
        <f>(AB8+AI8+AP8+AW8+BD8)</f>
        <v>146.5</v>
      </c>
      <c r="BJ8" s="777">
        <f>IF(AA8&lt;AB8,AB8,0)+IF(AH8&lt;AI8,AI8,0)+IF(AO8&lt;AP8,AP8,0)+IF(AV8&lt;AW8,AW8,0)+IF(BC8&lt;BD8,BD8,0)</f>
        <v>0</v>
      </c>
      <c r="BK8" s="308">
        <f>(AC8+AJ8+AQ8+AX8+BE8)</f>
        <v>0</v>
      </c>
      <c r="BL8" s="83"/>
      <c r="BM8" s="686">
        <f>BG8*$B8</f>
        <v>1465</v>
      </c>
      <c r="BN8" s="686">
        <f t="shared" ref="BN8:BQ8" si="10">BH8*$B8</f>
        <v>1465</v>
      </c>
      <c r="BO8" s="686">
        <f t="shared" si="10"/>
        <v>1465</v>
      </c>
      <c r="BP8" s="686">
        <f t="shared" si="10"/>
        <v>0</v>
      </c>
      <c r="BQ8" s="686">
        <f t="shared" si="10"/>
        <v>0</v>
      </c>
      <c r="BR8" s="80"/>
      <c r="BS8" s="80"/>
      <c r="BT8" s="351">
        <f t="shared" ref="BT8:BT31" si="11">VLOOKUP(C8,BW$3:CB$61,4,FALSE)</f>
        <v>1</v>
      </c>
      <c r="BU8" s="351">
        <f t="shared" ref="BU8:BU31" si="12">VLOOKUP(C8,BW$3:CB$61,5,FALSE)</f>
        <v>1.5</v>
      </c>
      <c r="BV8" s="123"/>
      <c r="BW8" s="240" t="s">
        <v>760</v>
      </c>
      <c r="BX8" s="240">
        <v>40</v>
      </c>
      <c r="BY8" s="597">
        <v>115</v>
      </c>
      <c r="BZ8" s="240">
        <v>1</v>
      </c>
      <c r="CA8" s="240">
        <v>1.5</v>
      </c>
      <c r="CB8" s="641">
        <v>90</v>
      </c>
      <c r="CC8" s="393">
        <v>0.8</v>
      </c>
      <c r="CD8" s="352">
        <f t="shared" si="0"/>
        <v>32</v>
      </c>
      <c r="CE8" s="32"/>
      <c r="CF8" s="3"/>
      <c r="CG8" s="80"/>
    </row>
    <row r="9" spans="1:85" ht="26.25" customHeight="1" x14ac:dyDescent="0.25">
      <c r="A9" s="342" t="s">
        <v>1303</v>
      </c>
      <c r="B9" s="1215">
        <v>10</v>
      </c>
      <c r="C9" s="599" t="s">
        <v>222</v>
      </c>
      <c r="D9" s="908">
        <f t="shared" si="1"/>
        <v>80</v>
      </c>
      <c r="E9" s="427">
        <f t="shared" si="2"/>
        <v>230</v>
      </c>
      <c r="F9" s="1206">
        <v>70</v>
      </c>
      <c r="G9" s="413">
        <f t="shared" si="3"/>
        <v>215</v>
      </c>
      <c r="H9" s="602" t="s">
        <v>510</v>
      </c>
      <c r="I9" s="427">
        <f t="shared" si="4"/>
        <v>0</v>
      </c>
      <c r="J9" s="430" t="s">
        <v>31</v>
      </c>
      <c r="K9" s="606">
        <f t="shared" si="5"/>
        <v>0</v>
      </c>
      <c r="L9" s="408">
        <f t="shared" si="6"/>
        <v>90</v>
      </c>
      <c r="M9" s="1209">
        <v>35</v>
      </c>
      <c r="N9" s="450" t="s">
        <v>160</v>
      </c>
      <c r="O9" s="427">
        <f t="shared" si="7"/>
        <v>0</v>
      </c>
      <c r="P9" s="1212">
        <v>16.2</v>
      </c>
      <c r="Q9" s="747">
        <f t="shared" ref="Q9:Q31" si="13">IF(G9-M9-P9-O9-I9-K9&lt;0,0,G9-M9-P9-O9-I9-K9)</f>
        <v>163.80000000000001</v>
      </c>
      <c r="R9" s="608">
        <f t="shared" si="8"/>
        <v>1638</v>
      </c>
      <c r="S9" s="479">
        <f t="shared" si="9"/>
        <v>56</v>
      </c>
      <c r="T9" s="435">
        <f t="shared" ref="T9:T31" si="14">IF(S9&lt;0,0,S9*B9)</f>
        <v>560</v>
      </c>
      <c r="V9" s="852" t="str">
        <f t="shared" ref="V9:V31" si="15">A9</f>
        <v>Maisweizen</v>
      </c>
      <c r="W9" s="852" t="str">
        <f t="shared" ref="W9:W31" si="16">C9</f>
        <v>Winterweizen A,B</v>
      </c>
      <c r="X9" s="886">
        <v>44621</v>
      </c>
      <c r="Y9" s="887" t="s">
        <v>841</v>
      </c>
      <c r="Z9" s="906">
        <v>2</v>
      </c>
      <c r="AA9" s="687">
        <f>VLOOKUP(Y9,Düngemittel!$B$6:$E$64,2,FALSE)*(VLOOKUP(Y9,Düngemittel!$B$6:$E$64,3,FALSE))/100*Z9</f>
        <v>54</v>
      </c>
      <c r="AB9" s="687">
        <f>VLOOKUP(Y9,Düngemittel!$B$6:$E$64,2,FALSE)*Z9</f>
        <v>54</v>
      </c>
      <c r="AC9" s="687">
        <f>VLOOKUP(Y9,Düngemittel!$B$6:$E$64,4,FALSE)*Z9</f>
        <v>0</v>
      </c>
      <c r="AE9" s="886">
        <v>44591</v>
      </c>
      <c r="AF9" s="887" t="s">
        <v>842</v>
      </c>
      <c r="AG9" s="906">
        <v>2</v>
      </c>
      <c r="AH9" s="687">
        <f>VLOOKUP(AF9,Düngemittel!$B$6:$E$64,2,FALSE)*(VLOOKUP(AF9,Düngemittel!$B$6:$E$64,3,FALSE))/100*AG9</f>
        <v>52</v>
      </c>
      <c r="AI9" s="687">
        <f>VLOOKUP(AF9,Düngemittel!$B$6:$E$64,2,FALSE)*AG9</f>
        <v>52</v>
      </c>
      <c r="AJ9" s="687">
        <f>VLOOKUP(AF9,Düngemittel!$B$6:$E$64,4,FALSE)*AG9</f>
        <v>0</v>
      </c>
      <c r="AL9" s="886">
        <v>44676</v>
      </c>
      <c r="AM9" s="887" t="s">
        <v>841</v>
      </c>
      <c r="AN9" s="906">
        <v>1.5</v>
      </c>
      <c r="AO9" s="687">
        <f>VLOOKUP(AM9,Düngemittel!$B$6:$E$64,2,FALSE)*(VLOOKUP(AM9,Düngemittel!$B$6:$E$64,3,FALSE))/100*AN9</f>
        <v>40.5</v>
      </c>
      <c r="AP9" s="687">
        <f>VLOOKUP(AM9,Düngemittel!$B$6:$E$64,2,FALSE)*AN9</f>
        <v>40.5</v>
      </c>
      <c r="AQ9" s="687">
        <f>VLOOKUP(AM9,Düngemittel!$B$6:$E$64,4,FALSE)*AN9</f>
        <v>0</v>
      </c>
      <c r="AS9" s="886"/>
      <c r="AT9" s="887" t="s">
        <v>805</v>
      </c>
      <c r="AU9" s="906">
        <v>0</v>
      </c>
      <c r="AV9" s="687">
        <f>VLOOKUP(AT9,Düngemittel!$B$6:$E$64,2,FALSE)*(VLOOKUP(AT9,Düngemittel!$B$6:$E$64,3,FALSE))/100*AU9</f>
        <v>0</v>
      </c>
      <c r="AW9" s="687">
        <f>VLOOKUP(AT9,Düngemittel!$B$6:$E$64,2,FALSE)*AU9</f>
        <v>0</v>
      </c>
      <c r="AX9" s="687">
        <f>VLOOKUP(AT9,Düngemittel!$B$6:$E$64,4,FALSE)*AU9</f>
        <v>0</v>
      </c>
      <c r="AZ9" s="886"/>
      <c r="BA9" s="887" t="s">
        <v>805</v>
      </c>
      <c r="BB9" s="906">
        <v>0</v>
      </c>
      <c r="BC9" s="687">
        <f>VLOOKUP(BA9,Düngemittel!$B$6:$E$64,2,FALSE)*(VLOOKUP(BA9,Düngemittel!$B$6:$E$64,3,FALSE))/100*BB9</f>
        <v>0</v>
      </c>
      <c r="BD9" s="687">
        <f>VLOOKUP(BA9,Düngemittel!$B$6:$E$64,2,FALSE)*BB9</f>
        <v>0</v>
      </c>
      <c r="BE9" s="687">
        <f>VLOOKUP(BA9,Düngemittel!$B$6:$E$64,4,FALSE)*BB9</f>
        <v>0</v>
      </c>
      <c r="BG9" s="853">
        <f t="shared" ref="BG9:BG31" si="17">IF(AA9&lt;AB9,0,AA9)+IF(AH9&lt;AI9,0,AH9)+IF(AO9&lt;AP9,0,AO9)+IF(AV9&lt;AW9,0,AV9)+IF(BC9&lt;BD9,0,BC9)</f>
        <v>146.5</v>
      </c>
      <c r="BH9" s="308">
        <f t="shared" ref="BH9:BI31" si="18">(AA9+AH9+AO9+AV9+BC9)</f>
        <v>146.5</v>
      </c>
      <c r="BI9" s="853">
        <f t="shared" si="18"/>
        <v>146.5</v>
      </c>
      <c r="BJ9" s="777">
        <f t="shared" ref="BJ9:BJ31" si="19">IF(AA9&lt;AB9,AB9,0)+IF(AH9&lt;AI9,AI9,0)+IF(AO9&lt;AP9,AP9,0)+IF(AV9&lt;AW9,AW9,0)+IF(BC9&lt;BD9,BD9,0)</f>
        <v>0</v>
      </c>
      <c r="BK9" s="308">
        <f t="shared" ref="BK9:BK31" si="20">(AC9+AJ9+AQ9+AX9+BE9)</f>
        <v>0</v>
      </c>
      <c r="BL9" s="83"/>
      <c r="BM9" s="686">
        <f t="shared" ref="BM9:BM31" si="21">BG9*$B9</f>
        <v>1465</v>
      </c>
      <c r="BN9" s="686">
        <f t="shared" ref="BN9:BN31" si="22">BH9*$B9</f>
        <v>1465</v>
      </c>
      <c r="BO9" s="686">
        <f t="shared" ref="BO9:BO31" si="23">BI9*$B9</f>
        <v>1465</v>
      </c>
      <c r="BP9" s="686">
        <f t="shared" ref="BP9:BP31" si="24">BJ9*$B9</f>
        <v>0</v>
      </c>
      <c r="BQ9" s="686">
        <f t="shared" ref="BQ9:BQ31" si="25">BK9*$B9</f>
        <v>0</v>
      </c>
      <c r="BT9" s="351">
        <f t="shared" si="11"/>
        <v>1</v>
      </c>
      <c r="BU9" s="351">
        <f t="shared" si="12"/>
        <v>1.5</v>
      </c>
      <c r="BW9" s="580" t="s">
        <v>764</v>
      </c>
      <c r="BX9" s="580">
        <v>150</v>
      </c>
      <c r="BY9" s="580">
        <v>160</v>
      </c>
      <c r="BZ9" s="580">
        <v>0.2</v>
      </c>
      <c r="CA9" s="580">
        <v>0.3</v>
      </c>
      <c r="CB9" s="641">
        <v>60</v>
      </c>
      <c r="CC9" s="393">
        <v>0.32</v>
      </c>
      <c r="CD9" s="352">
        <f t="shared" si="0"/>
        <v>48</v>
      </c>
      <c r="CE9" s="9"/>
      <c r="CF9" s="3"/>
    </row>
    <row r="10" spans="1:85" ht="26.25" customHeight="1" x14ac:dyDescent="0.25">
      <c r="A10" s="342" t="s">
        <v>113</v>
      </c>
      <c r="B10" s="1215">
        <v>10</v>
      </c>
      <c r="C10" s="600" t="s">
        <v>703</v>
      </c>
      <c r="D10" s="908">
        <f t="shared" si="1"/>
        <v>40</v>
      </c>
      <c r="E10" s="427">
        <f t="shared" si="2"/>
        <v>200</v>
      </c>
      <c r="F10" s="1206">
        <v>40</v>
      </c>
      <c r="G10" s="413">
        <f t="shared" si="3"/>
        <v>200</v>
      </c>
      <c r="H10" s="602" t="s">
        <v>510</v>
      </c>
      <c r="I10" s="427">
        <f t="shared" si="4"/>
        <v>0</v>
      </c>
      <c r="J10" s="430" t="s">
        <v>31</v>
      </c>
      <c r="K10" s="606">
        <f t="shared" si="5"/>
        <v>0</v>
      </c>
      <c r="L10" s="408">
        <f t="shared" si="6"/>
        <v>90</v>
      </c>
      <c r="M10" s="1209">
        <v>35</v>
      </c>
      <c r="N10" s="450" t="s">
        <v>160</v>
      </c>
      <c r="O10" s="427">
        <f t="shared" si="7"/>
        <v>0</v>
      </c>
      <c r="P10" s="1212"/>
      <c r="Q10" s="747">
        <f t="shared" si="13"/>
        <v>165</v>
      </c>
      <c r="R10" s="608">
        <f t="shared" si="8"/>
        <v>1650</v>
      </c>
      <c r="S10" s="479">
        <f t="shared" si="9"/>
        <v>72</v>
      </c>
      <c r="T10" s="435">
        <f t="shared" si="14"/>
        <v>720</v>
      </c>
      <c r="V10" s="852" t="str">
        <f t="shared" si="15"/>
        <v>Raps</v>
      </c>
      <c r="W10" s="852" t="str">
        <f t="shared" si="16"/>
        <v>Winterraps, 91 % TM</v>
      </c>
      <c r="X10" s="886">
        <v>44617</v>
      </c>
      <c r="Y10" s="887" t="s">
        <v>842</v>
      </c>
      <c r="Z10" s="906">
        <v>2.8</v>
      </c>
      <c r="AA10" s="687">
        <f>VLOOKUP(Y10,Düngemittel!$B$6:$E$64,2,FALSE)*(VLOOKUP(Y10,Düngemittel!$B$6:$E$64,3,FALSE))/100*Z10</f>
        <v>72.8</v>
      </c>
      <c r="AB10" s="687">
        <f>VLOOKUP(Y10,Düngemittel!$B$6:$E$64,2,FALSE)*Z10</f>
        <v>72.8</v>
      </c>
      <c r="AC10" s="687">
        <f>VLOOKUP(Y10,Düngemittel!$B$6:$E$64,4,FALSE)*Z10</f>
        <v>0</v>
      </c>
      <c r="AE10" s="886">
        <v>44640</v>
      </c>
      <c r="AF10" s="887" t="s">
        <v>841</v>
      </c>
      <c r="AG10" s="906">
        <v>2.5</v>
      </c>
      <c r="AH10" s="687">
        <f>VLOOKUP(AF10,Düngemittel!$B$6:$E$64,2,FALSE)*(VLOOKUP(AF10,Düngemittel!$B$6:$E$64,3,FALSE))/100*AG10</f>
        <v>67.5</v>
      </c>
      <c r="AI10" s="687">
        <f>VLOOKUP(AF10,Düngemittel!$B$6:$E$64,2,FALSE)*AG10</f>
        <v>67.5</v>
      </c>
      <c r="AJ10" s="687">
        <f>VLOOKUP(AF10,Düngemittel!$B$6:$E$64,4,FALSE)*AG10</f>
        <v>0</v>
      </c>
      <c r="AL10" s="886"/>
      <c r="AM10" s="887" t="s">
        <v>805</v>
      </c>
      <c r="AN10" s="906">
        <v>0</v>
      </c>
      <c r="AO10" s="687">
        <f>VLOOKUP(AM10,Düngemittel!$B$6:$E$64,2,FALSE)*(VLOOKUP(AM10,Düngemittel!$B$6:$E$64,3,FALSE))/100*AN10</f>
        <v>0</v>
      </c>
      <c r="AP10" s="687">
        <f>VLOOKUP(AM10,Düngemittel!$B$6:$E$64,2,FALSE)*AN10</f>
        <v>0</v>
      </c>
      <c r="AQ10" s="687">
        <f>VLOOKUP(AM10,Düngemittel!$B$6:$E$64,4,FALSE)*AN10</f>
        <v>0</v>
      </c>
      <c r="AS10" s="886"/>
      <c r="AT10" s="887" t="s">
        <v>805</v>
      </c>
      <c r="AU10" s="906">
        <v>0</v>
      </c>
      <c r="AV10" s="687">
        <f>VLOOKUP(AT10,Düngemittel!$B$6:$E$64,2,FALSE)*(VLOOKUP(AT10,Düngemittel!$B$6:$E$64,3,FALSE))/100*AU10</f>
        <v>0</v>
      </c>
      <c r="AW10" s="687">
        <f>VLOOKUP(AT10,Düngemittel!$B$6:$E$64,2,FALSE)*AU10</f>
        <v>0</v>
      </c>
      <c r="AX10" s="687">
        <f>VLOOKUP(AT10,Düngemittel!$B$6:$E$64,4,FALSE)*AU10</f>
        <v>0</v>
      </c>
      <c r="AZ10" s="886"/>
      <c r="BA10" s="887" t="s">
        <v>805</v>
      </c>
      <c r="BB10" s="906">
        <v>0</v>
      </c>
      <c r="BC10" s="687">
        <f>VLOOKUP(BA10,Düngemittel!$B$6:$E$64,2,FALSE)*(VLOOKUP(BA10,Düngemittel!$B$6:$E$64,3,FALSE))/100*BB10</f>
        <v>0</v>
      </c>
      <c r="BD10" s="687">
        <f>VLOOKUP(BA10,Düngemittel!$B$6:$E$64,2,FALSE)*BB10</f>
        <v>0</v>
      </c>
      <c r="BE10" s="687">
        <f>VLOOKUP(BA10,Düngemittel!$B$6:$E$64,4,FALSE)*BB10</f>
        <v>0</v>
      </c>
      <c r="BG10" s="853">
        <f t="shared" si="17"/>
        <v>140.30000000000001</v>
      </c>
      <c r="BH10" s="308">
        <f t="shared" si="18"/>
        <v>140.30000000000001</v>
      </c>
      <c r="BI10" s="853">
        <f t="shared" si="18"/>
        <v>140.30000000000001</v>
      </c>
      <c r="BJ10" s="777">
        <f t="shared" si="19"/>
        <v>0</v>
      </c>
      <c r="BK10" s="308">
        <f t="shared" si="20"/>
        <v>0</v>
      </c>
      <c r="BL10" s="83"/>
      <c r="BM10" s="686">
        <f t="shared" si="21"/>
        <v>1403</v>
      </c>
      <c r="BN10" s="686">
        <f t="shared" si="22"/>
        <v>1403</v>
      </c>
      <c r="BO10" s="686">
        <f t="shared" si="23"/>
        <v>1403</v>
      </c>
      <c r="BP10" s="686">
        <f t="shared" si="24"/>
        <v>0</v>
      </c>
      <c r="BQ10" s="686">
        <f t="shared" si="25"/>
        <v>0</v>
      </c>
      <c r="BT10" s="351">
        <f t="shared" si="11"/>
        <v>2</v>
      </c>
      <c r="BU10" s="351">
        <f t="shared" si="12"/>
        <v>3</v>
      </c>
      <c r="BW10" s="580" t="s">
        <v>690</v>
      </c>
      <c r="BX10" s="580">
        <v>80</v>
      </c>
      <c r="BY10" s="580">
        <v>100</v>
      </c>
      <c r="BZ10" s="580">
        <v>1</v>
      </c>
      <c r="CA10" s="580">
        <v>1.5</v>
      </c>
      <c r="CB10" s="641">
        <v>60</v>
      </c>
      <c r="CC10" s="393">
        <v>0.64</v>
      </c>
      <c r="CD10" s="352">
        <f t="shared" si="0"/>
        <v>51.2</v>
      </c>
      <c r="CE10" s="9"/>
      <c r="CF10" s="3"/>
    </row>
    <row r="11" spans="1:85" ht="26.25" customHeight="1" x14ac:dyDescent="0.25">
      <c r="A11" s="342" t="s">
        <v>71</v>
      </c>
      <c r="B11" s="1215">
        <v>10</v>
      </c>
      <c r="C11" s="600" t="s">
        <v>1304</v>
      </c>
      <c r="D11" s="908">
        <f t="shared" si="1"/>
        <v>450</v>
      </c>
      <c r="E11" s="427">
        <f t="shared" si="2"/>
        <v>200</v>
      </c>
      <c r="F11" s="1206">
        <v>400</v>
      </c>
      <c r="G11" s="413">
        <f t="shared" si="3"/>
        <v>185</v>
      </c>
      <c r="H11" s="602" t="s">
        <v>510</v>
      </c>
      <c r="I11" s="427">
        <f t="shared" si="4"/>
        <v>0</v>
      </c>
      <c r="J11" s="430" t="s">
        <v>28</v>
      </c>
      <c r="K11" s="606">
        <f t="shared" si="5"/>
        <v>10</v>
      </c>
      <c r="L11" s="408">
        <f t="shared" si="6"/>
        <v>90</v>
      </c>
      <c r="M11" s="1209">
        <v>40</v>
      </c>
      <c r="N11" s="450" t="s">
        <v>160</v>
      </c>
      <c r="O11" s="427">
        <f t="shared" si="7"/>
        <v>0</v>
      </c>
      <c r="P11" s="1212"/>
      <c r="Q11" s="747">
        <f t="shared" si="13"/>
        <v>135</v>
      </c>
      <c r="R11" s="608">
        <f t="shared" si="8"/>
        <v>1350</v>
      </c>
      <c r="S11" s="479">
        <f t="shared" si="9"/>
        <v>64</v>
      </c>
      <c r="T11" s="435">
        <f t="shared" si="14"/>
        <v>640</v>
      </c>
      <c r="V11" s="852" t="str">
        <f t="shared" si="15"/>
        <v>Silomais</v>
      </c>
      <c r="W11" s="852" t="str">
        <f t="shared" si="16"/>
        <v>Silomais, 28-30 % TM</v>
      </c>
      <c r="X11" s="886">
        <v>44661</v>
      </c>
      <c r="Y11" s="887" t="s">
        <v>1054</v>
      </c>
      <c r="Z11" s="906">
        <v>450</v>
      </c>
      <c r="AA11" s="687">
        <f>VLOOKUP(Y11,Düngemittel!$B$6:$E$64,2,FALSE)*(VLOOKUP(Y11,Düngemittel!$B$6:$E$64,3,FALSE))/100*Z11</f>
        <v>97.199999999999989</v>
      </c>
      <c r="AB11" s="687">
        <f>VLOOKUP(Y11,Düngemittel!$B$6:$E$64,2,FALSE)*Z11</f>
        <v>162</v>
      </c>
      <c r="AC11" s="687">
        <f>VLOOKUP(Y11,Düngemittel!$B$6:$E$64,4,FALSE)*Z11</f>
        <v>67.5</v>
      </c>
      <c r="AE11" s="886">
        <v>44671</v>
      </c>
      <c r="AF11" s="887" t="s">
        <v>848</v>
      </c>
      <c r="AG11" s="906">
        <v>0.5</v>
      </c>
      <c r="AH11" s="687">
        <f>VLOOKUP(AF11,Düngemittel!$B$6:$E$64,2,FALSE)*(VLOOKUP(AF11,Düngemittel!$B$6:$E$64,3,FALSE))/100*AG11</f>
        <v>9</v>
      </c>
      <c r="AI11" s="687">
        <f>VLOOKUP(AF11,Düngemittel!$B$6:$E$64,2,FALSE)*AG11</f>
        <v>9</v>
      </c>
      <c r="AJ11" s="687">
        <f>VLOOKUP(AF11,Düngemittel!$B$6:$E$64,4,FALSE)*AG11</f>
        <v>23</v>
      </c>
      <c r="AL11" s="886"/>
      <c r="AM11" s="887" t="s">
        <v>805</v>
      </c>
      <c r="AN11" s="906">
        <v>0</v>
      </c>
      <c r="AO11" s="687">
        <f>VLOOKUP(AM11,Düngemittel!$B$6:$E$64,2,FALSE)*(VLOOKUP(AM11,Düngemittel!$B$6:$E$64,3,FALSE))/100*AN11</f>
        <v>0</v>
      </c>
      <c r="AP11" s="687">
        <f>VLOOKUP(AM11,Düngemittel!$B$6:$E$64,2,FALSE)*AN11</f>
        <v>0</v>
      </c>
      <c r="AQ11" s="687">
        <f>VLOOKUP(AM11,Düngemittel!$B$6:$E$64,4,FALSE)*AN11</f>
        <v>0</v>
      </c>
      <c r="AS11" s="886"/>
      <c r="AT11" s="887" t="s">
        <v>805</v>
      </c>
      <c r="AU11" s="906">
        <v>0</v>
      </c>
      <c r="AV11" s="687">
        <f>VLOOKUP(AT11,Düngemittel!$B$6:$E$64,2,FALSE)*(VLOOKUP(AT11,Düngemittel!$B$6:$E$64,3,FALSE))/100*AU11</f>
        <v>0</v>
      </c>
      <c r="AW11" s="687">
        <f>VLOOKUP(AT11,Düngemittel!$B$6:$E$64,2,FALSE)*AU11</f>
        <v>0</v>
      </c>
      <c r="AX11" s="687">
        <f>VLOOKUP(AT11,Düngemittel!$B$6:$E$64,4,FALSE)*AU11</f>
        <v>0</v>
      </c>
      <c r="AZ11" s="886"/>
      <c r="BA11" s="887" t="s">
        <v>805</v>
      </c>
      <c r="BB11" s="906">
        <v>0</v>
      </c>
      <c r="BC11" s="687">
        <f>VLOOKUP(BA11,Düngemittel!$B$6:$E$64,2,FALSE)*(VLOOKUP(BA11,Düngemittel!$B$6:$E$64,3,FALSE))/100*BB11</f>
        <v>0</v>
      </c>
      <c r="BD11" s="687">
        <f>VLOOKUP(BA11,Düngemittel!$B$6:$E$64,2,FALSE)*BB11</f>
        <v>0</v>
      </c>
      <c r="BE11" s="687">
        <f>VLOOKUP(BA11,Düngemittel!$B$6:$E$64,4,FALSE)*BB11</f>
        <v>0</v>
      </c>
      <c r="BG11" s="853">
        <f t="shared" si="17"/>
        <v>9</v>
      </c>
      <c r="BH11" s="308">
        <f t="shared" si="18"/>
        <v>106.19999999999999</v>
      </c>
      <c r="BI11" s="853">
        <f t="shared" si="18"/>
        <v>171</v>
      </c>
      <c r="BJ11" s="777">
        <f t="shared" si="19"/>
        <v>162</v>
      </c>
      <c r="BK11" s="308">
        <f t="shared" si="20"/>
        <v>90.5</v>
      </c>
      <c r="BL11" s="83"/>
      <c r="BM11" s="686">
        <f t="shared" si="21"/>
        <v>90</v>
      </c>
      <c r="BN11" s="686">
        <f t="shared" si="22"/>
        <v>1062</v>
      </c>
      <c r="BO11" s="686">
        <f t="shared" si="23"/>
        <v>1710</v>
      </c>
      <c r="BP11" s="686">
        <f t="shared" si="24"/>
        <v>1620</v>
      </c>
      <c r="BQ11" s="686">
        <f t="shared" si="25"/>
        <v>905</v>
      </c>
      <c r="BT11" s="351">
        <f t="shared" si="11"/>
        <v>0.2</v>
      </c>
      <c r="BU11" s="351">
        <f t="shared" si="12"/>
        <v>0.3</v>
      </c>
      <c r="BW11" s="124" t="s">
        <v>225</v>
      </c>
      <c r="BX11" s="124">
        <v>400</v>
      </c>
      <c r="BY11" s="124">
        <v>220</v>
      </c>
      <c r="BZ11" s="593">
        <v>0.2</v>
      </c>
      <c r="CA11" s="593">
        <v>0.2</v>
      </c>
      <c r="CB11" s="641">
        <v>60</v>
      </c>
      <c r="CC11" s="393">
        <v>0.14000000000000001</v>
      </c>
      <c r="CD11" s="352">
        <f t="shared" si="0"/>
        <v>56.000000000000007</v>
      </c>
      <c r="CE11" s="9"/>
      <c r="CF11" s="3"/>
    </row>
    <row r="12" spans="1:85" ht="26.25" customHeight="1" x14ac:dyDescent="0.25">
      <c r="A12" s="342" t="s">
        <v>71</v>
      </c>
      <c r="B12" s="1215">
        <v>10</v>
      </c>
      <c r="C12" s="600" t="s">
        <v>1304</v>
      </c>
      <c r="D12" s="908">
        <f t="shared" si="1"/>
        <v>450</v>
      </c>
      <c r="E12" s="427">
        <f t="shared" si="2"/>
        <v>200</v>
      </c>
      <c r="F12" s="1206">
        <v>400</v>
      </c>
      <c r="G12" s="413">
        <f t="shared" si="3"/>
        <v>185</v>
      </c>
      <c r="H12" s="602" t="s">
        <v>510</v>
      </c>
      <c r="I12" s="427">
        <f t="shared" si="4"/>
        <v>0</v>
      </c>
      <c r="J12" s="430" t="s">
        <v>31</v>
      </c>
      <c r="K12" s="606">
        <f t="shared" si="5"/>
        <v>0</v>
      </c>
      <c r="L12" s="408">
        <f t="shared" si="6"/>
        <v>90</v>
      </c>
      <c r="M12" s="1209">
        <v>35</v>
      </c>
      <c r="N12" s="450" t="s">
        <v>160</v>
      </c>
      <c r="O12" s="427">
        <f t="shared" si="7"/>
        <v>0</v>
      </c>
      <c r="P12" s="1212"/>
      <c r="Q12" s="747">
        <f t="shared" si="13"/>
        <v>150</v>
      </c>
      <c r="R12" s="608">
        <f t="shared" si="8"/>
        <v>1500</v>
      </c>
      <c r="S12" s="479">
        <f t="shared" si="9"/>
        <v>64</v>
      </c>
      <c r="T12" s="435">
        <f t="shared" si="14"/>
        <v>640</v>
      </c>
      <c r="V12" s="852" t="str">
        <f t="shared" si="15"/>
        <v>Silomais</v>
      </c>
      <c r="W12" s="852" t="str">
        <f t="shared" si="16"/>
        <v>Silomais, 28-30 % TM</v>
      </c>
      <c r="X12" s="886">
        <v>44661</v>
      </c>
      <c r="Y12" s="887" t="s">
        <v>1054</v>
      </c>
      <c r="Z12" s="906">
        <v>450</v>
      </c>
      <c r="AA12" s="687">
        <f>VLOOKUP(Y12,Düngemittel!$B$6:$E$64,2,FALSE)*(VLOOKUP(Y12,Düngemittel!$B$6:$E$64,3,FALSE))/100*Z12</f>
        <v>97.199999999999989</v>
      </c>
      <c r="AB12" s="687">
        <f>VLOOKUP(Y12,Düngemittel!$B$6:$E$64,2,FALSE)*Z12</f>
        <v>162</v>
      </c>
      <c r="AC12" s="687">
        <f>VLOOKUP(Y12,Düngemittel!$B$6:$E$64,4,FALSE)*Z12</f>
        <v>67.5</v>
      </c>
      <c r="AE12" s="886">
        <v>44671</v>
      </c>
      <c r="AF12" s="887" t="s">
        <v>848</v>
      </c>
      <c r="AG12" s="906">
        <v>0.5</v>
      </c>
      <c r="AH12" s="687">
        <f>VLOOKUP(AF12,Düngemittel!$B$6:$E$64,2,FALSE)*(VLOOKUP(AF12,Düngemittel!$B$6:$E$64,3,FALSE))/100*AG12</f>
        <v>9</v>
      </c>
      <c r="AI12" s="687">
        <f>VLOOKUP(AF12,Düngemittel!$B$6:$E$64,2,FALSE)*AG12</f>
        <v>9</v>
      </c>
      <c r="AJ12" s="687">
        <f>VLOOKUP(AF12,Düngemittel!$B$6:$E$64,4,FALSE)*AG12</f>
        <v>23</v>
      </c>
      <c r="AL12" s="886"/>
      <c r="AM12" s="887" t="s">
        <v>805</v>
      </c>
      <c r="AN12" s="906">
        <v>0</v>
      </c>
      <c r="AO12" s="687">
        <f>VLOOKUP(AM12,Düngemittel!$B$6:$E$64,2,FALSE)*(VLOOKUP(AM12,Düngemittel!$B$6:$E$64,3,FALSE))/100*AN12</f>
        <v>0</v>
      </c>
      <c r="AP12" s="687">
        <f>VLOOKUP(AM12,Düngemittel!$B$6:$E$64,2,FALSE)*AN12</f>
        <v>0</v>
      </c>
      <c r="AQ12" s="687">
        <f>VLOOKUP(AM12,Düngemittel!$B$6:$E$64,4,FALSE)*AN12</f>
        <v>0</v>
      </c>
      <c r="AS12" s="886"/>
      <c r="AT12" s="887" t="s">
        <v>805</v>
      </c>
      <c r="AU12" s="906">
        <v>0</v>
      </c>
      <c r="AV12" s="687">
        <f>VLOOKUP(AT12,Düngemittel!$B$6:$E$64,2,FALSE)*(VLOOKUP(AT12,Düngemittel!$B$6:$E$64,3,FALSE))/100*AU12</f>
        <v>0</v>
      </c>
      <c r="AW12" s="687">
        <f>VLOOKUP(AT12,Düngemittel!$B$6:$E$64,2,FALSE)*AU12</f>
        <v>0</v>
      </c>
      <c r="AX12" s="687">
        <f>VLOOKUP(AT12,Düngemittel!$B$6:$E$64,4,FALSE)*AU12</f>
        <v>0</v>
      </c>
      <c r="AZ12" s="886"/>
      <c r="BA12" s="887" t="s">
        <v>805</v>
      </c>
      <c r="BB12" s="906">
        <v>0</v>
      </c>
      <c r="BC12" s="687">
        <f>VLOOKUP(BA12,Düngemittel!$B$6:$E$64,2,FALSE)*(VLOOKUP(BA12,Düngemittel!$B$6:$E$64,3,FALSE))/100*BB12</f>
        <v>0</v>
      </c>
      <c r="BD12" s="687">
        <f>VLOOKUP(BA12,Düngemittel!$B$6:$E$64,2,FALSE)*BB12</f>
        <v>0</v>
      </c>
      <c r="BE12" s="687">
        <f>VLOOKUP(BA12,Düngemittel!$B$6:$E$64,4,FALSE)*BB12</f>
        <v>0</v>
      </c>
      <c r="BG12" s="853">
        <f t="shared" si="17"/>
        <v>9</v>
      </c>
      <c r="BH12" s="308">
        <f t="shared" si="18"/>
        <v>106.19999999999999</v>
      </c>
      <c r="BI12" s="853">
        <f t="shared" si="18"/>
        <v>171</v>
      </c>
      <c r="BJ12" s="777">
        <f t="shared" si="19"/>
        <v>162</v>
      </c>
      <c r="BK12" s="308">
        <f t="shared" si="20"/>
        <v>90.5</v>
      </c>
      <c r="BL12" s="83"/>
      <c r="BM12" s="686">
        <f t="shared" si="21"/>
        <v>90</v>
      </c>
      <c r="BN12" s="686">
        <f t="shared" si="22"/>
        <v>1062</v>
      </c>
      <c r="BO12" s="686">
        <f t="shared" si="23"/>
        <v>1710</v>
      </c>
      <c r="BP12" s="686">
        <f t="shared" si="24"/>
        <v>1620</v>
      </c>
      <c r="BQ12" s="686">
        <f t="shared" si="25"/>
        <v>905</v>
      </c>
      <c r="BT12" s="351">
        <f t="shared" si="11"/>
        <v>0.2</v>
      </c>
      <c r="BU12" s="351">
        <f t="shared" si="12"/>
        <v>0.3</v>
      </c>
      <c r="BW12" s="580" t="s">
        <v>691</v>
      </c>
      <c r="BX12" s="580">
        <v>350</v>
      </c>
      <c r="BY12" s="580">
        <v>190</v>
      </c>
      <c r="BZ12" s="580">
        <v>0.2</v>
      </c>
      <c r="CA12" s="580">
        <v>0.3</v>
      </c>
      <c r="CB12" s="641">
        <v>90</v>
      </c>
      <c r="CC12" s="393">
        <v>0.28000000000000003</v>
      </c>
      <c r="CD12" s="352">
        <f t="shared" si="0"/>
        <v>98.000000000000014</v>
      </c>
      <c r="CE12" s="9"/>
      <c r="CF12" s="3"/>
    </row>
    <row r="13" spans="1:85" ht="26.25" customHeight="1" x14ac:dyDescent="0.25">
      <c r="A13" s="342" t="s">
        <v>92</v>
      </c>
      <c r="B13" s="1215">
        <v>10</v>
      </c>
      <c r="C13" s="600" t="s">
        <v>92</v>
      </c>
      <c r="D13" s="908">
        <f t="shared" si="1"/>
        <v>70</v>
      </c>
      <c r="E13" s="427">
        <f t="shared" si="2"/>
        <v>180</v>
      </c>
      <c r="F13" s="1206">
        <v>70</v>
      </c>
      <c r="G13" s="413">
        <f t="shared" si="3"/>
        <v>180</v>
      </c>
      <c r="H13" s="602" t="s">
        <v>510</v>
      </c>
      <c r="I13" s="427">
        <f t="shared" si="4"/>
        <v>0</v>
      </c>
      <c r="J13" s="430" t="s">
        <v>31</v>
      </c>
      <c r="K13" s="606">
        <f t="shared" si="5"/>
        <v>0</v>
      </c>
      <c r="L13" s="408">
        <f t="shared" si="6"/>
        <v>90</v>
      </c>
      <c r="M13" s="1209">
        <v>35</v>
      </c>
      <c r="N13" s="450" t="s">
        <v>160</v>
      </c>
      <c r="O13" s="427">
        <f t="shared" si="7"/>
        <v>0</v>
      </c>
      <c r="P13" s="1212">
        <v>16.2</v>
      </c>
      <c r="Q13" s="747">
        <f t="shared" si="13"/>
        <v>128.80000000000001</v>
      </c>
      <c r="R13" s="608">
        <f t="shared" si="8"/>
        <v>1288</v>
      </c>
      <c r="S13" s="479">
        <f t="shared" si="9"/>
        <v>56</v>
      </c>
      <c r="T13" s="435">
        <f t="shared" si="14"/>
        <v>560</v>
      </c>
      <c r="V13" s="852" t="str">
        <f t="shared" si="15"/>
        <v>Wintergerste</v>
      </c>
      <c r="W13" s="852" t="str">
        <f t="shared" si="16"/>
        <v>Wintergerste</v>
      </c>
      <c r="X13" s="886">
        <v>44621</v>
      </c>
      <c r="Y13" s="887" t="s">
        <v>841</v>
      </c>
      <c r="Z13" s="906">
        <v>1.5</v>
      </c>
      <c r="AA13" s="687">
        <f>VLOOKUP(Y13,Düngemittel!$B$6:$E$64,2,FALSE)*(VLOOKUP(Y13,Düngemittel!$B$6:$E$64,3,FALSE))/100*Z13</f>
        <v>40.5</v>
      </c>
      <c r="AB13" s="687">
        <f>VLOOKUP(Y13,Düngemittel!$B$6:$E$64,2,FALSE)*Z13</f>
        <v>40.5</v>
      </c>
      <c r="AC13" s="687">
        <f>VLOOKUP(Y13,Düngemittel!$B$6:$E$64,4,FALSE)*Z13</f>
        <v>0</v>
      </c>
      <c r="AE13" s="886">
        <v>44591</v>
      </c>
      <c r="AF13" s="887" t="s">
        <v>842</v>
      </c>
      <c r="AG13" s="906">
        <v>2</v>
      </c>
      <c r="AH13" s="687">
        <f>VLOOKUP(AF13,Düngemittel!$B$6:$E$64,2,FALSE)*(VLOOKUP(AF13,Düngemittel!$B$6:$E$64,3,FALSE))/100*AG13</f>
        <v>52</v>
      </c>
      <c r="AI13" s="687">
        <f>VLOOKUP(AF13,Düngemittel!$B$6:$E$64,2,FALSE)*AG13</f>
        <v>52</v>
      </c>
      <c r="AJ13" s="687">
        <f>VLOOKUP(AF13,Düngemittel!$B$6:$E$64,4,FALSE)*AG13</f>
        <v>0</v>
      </c>
      <c r="AL13" s="886"/>
      <c r="AM13" s="887" t="s">
        <v>805</v>
      </c>
      <c r="AN13" s="906">
        <v>0</v>
      </c>
      <c r="AO13" s="687">
        <f>VLOOKUP(AM13,Düngemittel!$B$6:$E$64,2,FALSE)*(VLOOKUP(AM13,Düngemittel!$B$6:$E$64,3,FALSE))/100*AN13</f>
        <v>0</v>
      </c>
      <c r="AP13" s="687">
        <f>VLOOKUP(AM13,Düngemittel!$B$6:$E$64,2,FALSE)*AN13</f>
        <v>0</v>
      </c>
      <c r="AQ13" s="687">
        <f>VLOOKUP(AM13,Düngemittel!$B$6:$E$64,4,FALSE)*AN13</f>
        <v>0</v>
      </c>
      <c r="AS13" s="886"/>
      <c r="AT13" s="887" t="s">
        <v>805</v>
      </c>
      <c r="AU13" s="906">
        <v>0</v>
      </c>
      <c r="AV13" s="687">
        <f>VLOOKUP(AT13,Düngemittel!$B$6:$E$64,2,FALSE)*(VLOOKUP(AT13,Düngemittel!$B$6:$E$64,3,FALSE))/100*AU13</f>
        <v>0</v>
      </c>
      <c r="AW13" s="687">
        <f>VLOOKUP(AT13,Düngemittel!$B$6:$E$64,2,FALSE)*AU13</f>
        <v>0</v>
      </c>
      <c r="AX13" s="687">
        <f>VLOOKUP(AT13,Düngemittel!$B$6:$E$64,4,FALSE)*AU13</f>
        <v>0</v>
      </c>
      <c r="AZ13" s="886"/>
      <c r="BA13" s="887" t="s">
        <v>805</v>
      </c>
      <c r="BB13" s="906">
        <v>0</v>
      </c>
      <c r="BC13" s="687">
        <f>VLOOKUP(BA13,Düngemittel!$B$6:$E$64,2,FALSE)*(VLOOKUP(BA13,Düngemittel!$B$6:$E$64,3,FALSE))/100*BB13</f>
        <v>0</v>
      </c>
      <c r="BD13" s="687">
        <f>VLOOKUP(BA13,Düngemittel!$B$6:$E$64,2,FALSE)*BB13</f>
        <v>0</v>
      </c>
      <c r="BE13" s="687">
        <f>VLOOKUP(BA13,Düngemittel!$B$6:$E$64,4,FALSE)*BB13</f>
        <v>0</v>
      </c>
      <c r="BG13" s="853">
        <f t="shared" si="17"/>
        <v>92.5</v>
      </c>
      <c r="BH13" s="308">
        <f t="shared" si="18"/>
        <v>92.5</v>
      </c>
      <c r="BI13" s="853">
        <f t="shared" si="18"/>
        <v>92.5</v>
      </c>
      <c r="BJ13" s="777">
        <f t="shared" si="19"/>
        <v>0</v>
      </c>
      <c r="BK13" s="308">
        <f t="shared" si="20"/>
        <v>0</v>
      </c>
      <c r="BL13" s="83"/>
      <c r="BM13" s="686">
        <f t="shared" si="21"/>
        <v>925</v>
      </c>
      <c r="BN13" s="686">
        <f t="shared" si="22"/>
        <v>925</v>
      </c>
      <c r="BO13" s="686">
        <f t="shared" si="23"/>
        <v>925</v>
      </c>
      <c r="BP13" s="686">
        <f t="shared" si="24"/>
        <v>0</v>
      </c>
      <c r="BQ13" s="686">
        <f t="shared" si="25"/>
        <v>0</v>
      </c>
      <c r="BT13" s="351">
        <f t="shared" si="11"/>
        <v>1</v>
      </c>
      <c r="BU13" s="351">
        <f t="shared" si="12"/>
        <v>1.5</v>
      </c>
      <c r="BW13" s="580" t="s">
        <v>692</v>
      </c>
      <c r="BX13" s="580">
        <v>350</v>
      </c>
      <c r="BY13" s="580">
        <v>100</v>
      </c>
      <c r="BZ13" s="580">
        <v>0.2</v>
      </c>
      <c r="CA13" s="580">
        <v>0.3</v>
      </c>
      <c r="CB13" s="641">
        <v>60</v>
      </c>
      <c r="CC13" s="393">
        <v>0.15</v>
      </c>
      <c r="CD13" s="352">
        <f t="shared" si="0"/>
        <v>52.5</v>
      </c>
      <c r="CE13" s="9"/>
      <c r="CF13" s="3"/>
    </row>
    <row r="14" spans="1:85" ht="26.25" customHeight="1" x14ac:dyDescent="0.25">
      <c r="A14" s="342"/>
      <c r="B14" s="1215"/>
      <c r="C14" s="600" t="s">
        <v>31</v>
      </c>
      <c r="D14" s="908">
        <f t="shared" si="1"/>
        <v>0</v>
      </c>
      <c r="E14" s="427">
        <f t="shared" si="2"/>
        <v>0</v>
      </c>
      <c r="F14" s="1206"/>
      <c r="G14" s="413">
        <f t="shared" si="3"/>
        <v>0</v>
      </c>
      <c r="H14" s="602" t="s">
        <v>510</v>
      </c>
      <c r="I14" s="427">
        <f t="shared" si="4"/>
        <v>0</v>
      </c>
      <c r="J14" s="430" t="s">
        <v>31</v>
      </c>
      <c r="K14" s="606">
        <f t="shared" si="5"/>
        <v>0</v>
      </c>
      <c r="L14" s="408">
        <f t="shared" si="6"/>
        <v>0</v>
      </c>
      <c r="M14" s="1209"/>
      <c r="N14" s="450" t="s">
        <v>160</v>
      </c>
      <c r="O14" s="427">
        <f t="shared" si="7"/>
        <v>0</v>
      </c>
      <c r="P14" s="1212"/>
      <c r="Q14" s="747">
        <f t="shared" si="13"/>
        <v>0</v>
      </c>
      <c r="R14" s="608">
        <f t="shared" si="8"/>
        <v>0</v>
      </c>
      <c r="S14" s="479">
        <f t="shared" si="9"/>
        <v>0</v>
      </c>
      <c r="T14" s="435">
        <f t="shared" si="14"/>
        <v>0</v>
      </c>
      <c r="V14" s="852">
        <f t="shared" si="15"/>
        <v>0</v>
      </c>
      <c r="W14" s="852" t="str">
        <f t="shared" si="16"/>
        <v>keine</v>
      </c>
      <c r="X14" s="886"/>
      <c r="Y14" s="887" t="s">
        <v>805</v>
      </c>
      <c r="Z14" s="906">
        <v>0</v>
      </c>
      <c r="AA14" s="687">
        <f>VLOOKUP(Y14,Düngemittel!$B$6:$E$64,2,FALSE)*(VLOOKUP(Y14,Düngemittel!$B$6:$E$64,3,FALSE))/100*Z14</f>
        <v>0</v>
      </c>
      <c r="AB14" s="687">
        <f>VLOOKUP(Y14,Düngemittel!$B$6:$E$64,2,FALSE)*Z14</f>
        <v>0</v>
      </c>
      <c r="AC14" s="687">
        <f>VLOOKUP(Y14,Düngemittel!$B$6:$E$64,4,FALSE)*Z14</f>
        <v>0</v>
      </c>
      <c r="AE14" s="886"/>
      <c r="AF14" s="887" t="s">
        <v>805</v>
      </c>
      <c r="AG14" s="906">
        <v>0</v>
      </c>
      <c r="AH14" s="687">
        <f>VLOOKUP(AF14,Düngemittel!$B$6:$E$64,2,FALSE)*(VLOOKUP(AF14,Düngemittel!$B$6:$E$64,3,FALSE))/100*AG14</f>
        <v>0</v>
      </c>
      <c r="AI14" s="687">
        <f>VLOOKUP(AF14,Düngemittel!$B$6:$E$64,2,FALSE)*AG14</f>
        <v>0</v>
      </c>
      <c r="AJ14" s="687">
        <f>VLOOKUP(AF14,Düngemittel!$B$6:$E$64,4,FALSE)*AG14</f>
        <v>0</v>
      </c>
      <c r="AL14" s="886"/>
      <c r="AM14" s="887" t="s">
        <v>805</v>
      </c>
      <c r="AN14" s="906">
        <v>0</v>
      </c>
      <c r="AO14" s="687">
        <f>VLOOKUP(AM14,Düngemittel!$B$6:$E$64,2,FALSE)*(VLOOKUP(AM14,Düngemittel!$B$6:$E$64,3,FALSE))/100*AN14</f>
        <v>0</v>
      </c>
      <c r="AP14" s="687">
        <f>VLOOKUP(AM14,Düngemittel!$B$6:$E$64,2,FALSE)*AN14</f>
        <v>0</v>
      </c>
      <c r="AQ14" s="687">
        <f>VLOOKUP(AM14,Düngemittel!$B$6:$E$64,4,FALSE)*AN14</f>
        <v>0</v>
      </c>
      <c r="AS14" s="886"/>
      <c r="AT14" s="887" t="s">
        <v>805</v>
      </c>
      <c r="AU14" s="906">
        <v>0</v>
      </c>
      <c r="AV14" s="687">
        <f>VLOOKUP(AT14,Düngemittel!$B$6:$E$64,2,FALSE)*(VLOOKUP(AT14,Düngemittel!$B$6:$E$64,3,FALSE))/100*AU14</f>
        <v>0</v>
      </c>
      <c r="AW14" s="687">
        <f>VLOOKUP(AT14,Düngemittel!$B$6:$E$64,2,FALSE)*AU14</f>
        <v>0</v>
      </c>
      <c r="AX14" s="687">
        <f>VLOOKUP(AT14,Düngemittel!$B$6:$E$64,4,FALSE)*AU14</f>
        <v>0</v>
      </c>
      <c r="AZ14" s="886"/>
      <c r="BA14" s="887" t="s">
        <v>805</v>
      </c>
      <c r="BB14" s="906">
        <v>0</v>
      </c>
      <c r="BC14" s="687">
        <f>VLOOKUP(BA14,Düngemittel!$B$6:$E$64,2,FALSE)*(VLOOKUP(BA14,Düngemittel!$B$6:$E$64,3,FALSE))/100*BB14</f>
        <v>0</v>
      </c>
      <c r="BD14" s="687">
        <f>VLOOKUP(BA14,Düngemittel!$B$6:$E$64,2,FALSE)*BB14</f>
        <v>0</v>
      </c>
      <c r="BE14" s="687">
        <f>VLOOKUP(BA14,Düngemittel!$B$6:$E$64,4,FALSE)*BB14</f>
        <v>0</v>
      </c>
      <c r="BG14" s="853">
        <f t="shared" si="17"/>
        <v>0</v>
      </c>
      <c r="BH14" s="308">
        <f t="shared" si="18"/>
        <v>0</v>
      </c>
      <c r="BI14" s="853">
        <f t="shared" si="18"/>
        <v>0</v>
      </c>
      <c r="BJ14" s="777">
        <f t="shared" si="19"/>
        <v>0</v>
      </c>
      <c r="BK14" s="308">
        <f t="shared" si="20"/>
        <v>0</v>
      </c>
      <c r="BL14" s="83"/>
      <c r="BM14" s="686">
        <f t="shared" si="21"/>
        <v>0</v>
      </c>
      <c r="BN14" s="686">
        <f t="shared" si="22"/>
        <v>0</v>
      </c>
      <c r="BO14" s="686">
        <f t="shared" si="23"/>
        <v>0</v>
      </c>
      <c r="BP14" s="686">
        <f t="shared" si="24"/>
        <v>0</v>
      </c>
      <c r="BQ14" s="686">
        <f t="shared" si="25"/>
        <v>0</v>
      </c>
      <c r="BT14" s="351">
        <f t="shared" si="11"/>
        <v>0</v>
      </c>
      <c r="BU14" s="351">
        <f t="shared" si="12"/>
        <v>0</v>
      </c>
      <c r="BW14" s="580" t="s">
        <v>693</v>
      </c>
      <c r="BX14" s="580">
        <v>350</v>
      </c>
      <c r="BY14" s="580">
        <v>180</v>
      </c>
      <c r="BZ14" s="580">
        <v>0.2</v>
      </c>
      <c r="CA14" s="580">
        <v>0.3</v>
      </c>
      <c r="CB14" s="641">
        <v>60</v>
      </c>
      <c r="CC14" s="393">
        <v>0.15</v>
      </c>
      <c r="CD14" s="352">
        <f t="shared" si="0"/>
        <v>52.5</v>
      </c>
      <c r="CE14" s="9"/>
      <c r="CF14"/>
    </row>
    <row r="15" spans="1:85" ht="26.25" customHeight="1" x14ac:dyDescent="0.25">
      <c r="A15" s="342"/>
      <c r="B15" s="1215"/>
      <c r="C15" s="600" t="s">
        <v>31</v>
      </c>
      <c r="D15" s="908">
        <f t="shared" si="1"/>
        <v>0</v>
      </c>
      <c r="E15" s="427">
        <f t="shared" si="2"/>
        <v>0</v>
      </c>
      <c r="F15" s="1206"/>
      <c r="G15" s="413">
        <f t="shared" si="3"/>
        <v>0</v>
      </c>
      <c r="H15" s="602" t="s">
        <v>510</v>
      </c>
      <c r="I15" s="427">
        <f t="shared" si="4"/>
        <v>0</v>
      </c>
      <c r="J15" s="430" t="s">
        <v>31</v>
      </c>
      <c r="K15" s="606">
        <f t="shared" si="5"/>
        <v>0</v>
      </c>
      <c r="L15" s="408">
        <f t="shared" si="6"/>
        <v>0</v>
      </c>
      <c r="M15" s="1209"/>
      <c r="N15" s="450" t="s">
        <v>160</v>
      </c>
      <c r="O15" s="427">
        <f t="shared" si="7"/>
        <v>0</v>
      </c>
      <c r="P15" s="1212"/>
      <c r="Q15" s="747">
        <f t="shared" si="13"/>
        <v>0</v>
      </c>
      <c r="R15" s="608">
        <f t="shared" si="8"/>
        <v>0</v>
      </c>
      <c r="S15" s="479">
        <f t="shared" si="9"/>
        <v>0</v>
      </c>
      <c r="T15" s="435">
        <f t="shared" si="14"/>
        <v>0</v>
      </c>
      <c r="V15" s="852">
        <f t="shared" si="15"/>
        <v>0</v>
      </c>
      <c r="W15" s="852" t="str">
        <f t="shared" si="16"/>
        <v>keine</v>
      </c>
      <c r="X15" s="886"/>
      <c r="Y15" s="887" t="s">
        <v>805</v>
      </c>
      <c r="Z15" s="906">
        <v>0</v>
      </c>
      <c r="AA15" s="687">
        <f>VLOOKUP(Y15,Düngemittel!$B$6:$E$64,2,FALSE)*(VLOOKUP(Y15,Düngemittel!$B$6:$E$64,3,FALSE))/100*Z15</f>
        <v>0</v>
      </c>
      <c r="AB15" s="687">
        <f>VLOOKUP(Y15,Düngemittel!$B$6:$E$64,2,FALSE)*Z15</f>
        <v>0</v>
      </c>
      <c r="AC15" s="687">
        <f>VLOOKUP(Y15,Düngemittel!$B$6:$E$64,4,FALSE)*Z15</f>
        <v>0</v>
      </c>
      <c r="AE15" s="886"/>
      <c r="AF15" s="887" t="s">
        <v>805</v>
      </c>
      <c r="AG15" s="906">
        <v>0</v>
      </c>
      <c r="AH15" s="687">
        <f>VLOOKUP(AF15,Düngemittel!$B$6:$E$64,2,FALSE)*(VLOOKUP(AF15,Düngemittel!$B$6:$E$64,3,FALSE))/100*AG15</f>
        <v>0</v>
      </c>
      <c r="AI15" s="687">
        <f>VLOOKUP(AF15,Düngemittel!$B$6:$E$64,2,FALSE)*AG15</f>
        <v>0</v>
      </c>
      <c r="AJ15" s="687">
        <f>VLOOKUP(AF15,Düngemittel!$B$6:$E$64,4,FALSE)*AG15</f>
        <v>0</v>
      </c>
      <c r="AL15" s="886"/>
      <c r="AM15" s="887" t="s">
        <v>805</v>
      </c>
      <c r="AN15" s="906">
        <v>0</v>
      </c>
      <c r="AO15" s="687">
        <f>VLOOKUP(AM15,Düngemittel!$B$6:$E$64,2,FALSE)*(VLOOKUP(AM15,Düngemittel!$B$6:$E$64,3,FALSE))/100*AN15</f>
        <v>0</v>
      </c>
      <c r="AP15" s="687">
        <f>VLOOKUP(AM15,Düngemittel!$B$6:$E$64,2,FALSE)*AN15</f>
        <v>0</v>
      </c>
      <c r="AQ15" s="687">
        <f>VLOOKUP(AM15,Düngemittel!$B$6:$E$64,4,FALSE)*AN15</f>
        <v>0</v>
      </c>
      <c r="AS15" s="886"/>
      <c r="AT15" s="887" t="s">
        <v>805</v>
      </c>
      <c r="AU15" s="906">
        <v>0</v>
      </c>
      <c r="AV15" s="687">
        <f>VLOOKUP(AT15,Düngemittel!$B$6:$E$64,2,FALSE)*(VLOOKUP(AT15,Düngemittel!$B$6:$E$64,3,FALSE))/100*AU15</f>
        <v>0</v>
      </c>
      <c r="AW15" s="687">
        <f>VLOOKUP(AT15,Düngemittel!$B$6:$E$64,2,FALSE)*AU15</f>
        <v>0</v>
      </c>
      <c r="AX15" s="687">
        <f>VLOOKUP(AT15,Düngemittel!$B$6:$E$64,4,FALSE)*AU15</f>
        <v>0</v>
      </c>
      <c r="AZ15" s="886"/>
      <c r="BA15" s="887" t="s">
        <v>805</v>
      </c>
      <c r="BB15" s="906">
        <v>0</v>
      </c>
      <c r="BC15" s="687">
        <f>VLOOKUP(BA15,Düngemittel!$B$6:$E$64,2,FALSE)*(VLOOKUP(BA15,Düngemittel!$B$6:$E$64,3,FALSE))/100*BB15</f>
        <v>0</v>
      </c>
      <c r="BD15" s="687">
        <f>VLOOKUP(BA15,Düngemittel!$B$6:$E$64,2,FALSE)*BB15</f>
        <v>0</v>
      </c>
      <c r="BE15" s="687">
        <f>VLOOKUP(BA15,Düngemittel!$B$6:$E$64,4,FALSE)*BB15</f>
        <v>0</v>
      </c>
      <c r="BG15" s="853">
        <f t="shared" si="17"/>
        <v>0</v>
      </c>
      <c r="BH15" s="308">
        <f t="shared" si="18"/>
        <v>0</v>
      </c>
      <c r="BI15" s="853">
        <f t="shared" si="18"/>
        <v>0</v>
      </c>
      <c r="BJ15" s="777">
        <f t="shared" si="19"/>
        <v>0</v>
      </c>
      <c r="BK15" s="308">
        <f t="shared" si="20"/>
        <v>0</v>
      </c>
      <c r="BL15" s="83"/>
      <c r="BM15" s="686">
        <f t="shared" si="21"/>
        <v>0</v>
      </c>
      <c r="BN15" s="686">
        <f t="shared" si="22"/>
        <v>0</v>
      </c>
      <c r="BO15" s="686">
        <f t="shared" si="23"/>
        <v>0</v>
      </c>
      <c r="BP15" s="686">
        <f t="shared" si="24"/>
        <v>0</v>
      </c>
      <c r="BQ15" s="686">
        <f t="shared" si="25"/>
        <v>0</v>
      </c>
      <c r="BT15" s="351">
        <f t="shared" si="11"/>
        <v>0</v>
      </c>
      <c r="BU15" s="351">
        <f t="shared" si="12"/>
        <v>0</v>
      </c>
      <c r="BW15" s="240" t="s">
        <v>701</v>
      </c>
      <c r="BX15" s="240">
        <v>650</v>
      </c>
      <c r="BY15" s="594">
        <v>190</v>
      </c>
      <c r="BZ15" s="595">
        <v>0.2</v>
      </c>
      <c r="CA15" s="595">
        <v>0.24</v>
      </c>
      <c r="CB15" s="641">
        <v>90</v>
      </c>
      <c r="CC15" s="393">
        <v>0.09</v>
      </c>
      <c r="CD15" s="352">
        <f t="shared" si="0"/>
        <v>58.5</v>
      </c>
    </row>
    <row r="16" spans="1:85" ht="26.25" customHeight="1" x14ac:dyDescent="0.25">
      <c r="A16" s="342"/>
      <c r="B16" s="1215"/>
      <c r="C16" s="600" t="s">
        <v>31</v>
      </c>
      <c r="D16" s="908">
        <f t="shared" si="1"/>
        <v>0</v>
      </c>
      <c r="E16" s="427">
        <f t="shared" si="2"/>
        <v>0</v>
      </c>
      <c r="F16" s="1206"/>
      <c r="G16" s="413">
        <f t="shared" si="3"/>
        <v>0</v>
      </c>
      <c r="H16" s="602" t="s">
        <v>510</v>
      </c>
      <c r="I16" s="427">
        <f t="shared" si="4"/>
        <v>0</v>
      </c>
      <c r="J16" s="430" t="s">
        <v>31</v>
      </c>
      <c r="K16" s="606">
        <f t="shared" si="5"/>
        <v>0</v>
      </c>
      <c r="L16" s="408">
        <f t="shared" si="6"/>
        <v>0</v>
      </c>
      <c r="M16" s="1209"/>
      <c r="N16" s="450" t="s">
        <v>160</v>
      </c>
      <c r="O16" s="427">
        <f t="shared" si="7"/>
        <v>0</v>
      </c>
      <c r="P16" s="1212"/>
      <c r="Q16" s="747">
        <f t="shared" si="13"/>
        <v>0</v>
      </c>
      <c r="R16" s="608">
        <f t="shared" si="8"/>
        <v>0</v>
      </c>
      <c r="S16" s="479">
        <f t="shared" si="9"/>
        <v>0</v>
      </c>
      <c r="T16" s="435">
        <f t="shared" si="14"/>
        <v>0</v>
      </c>
      <c r="V16" s="852">
        <f t="shared" si="15"/>
        <v>0</v>
      </c>
      <c r="W16" s="852" t="str">
        <f t="shared" si="16"/>
        <v>keine</v>
      </c>
      <c r="X16" s="886"/>
      <c r="Y16" s="887" t="s">
        <v>805</v>
      </c>
      <c r="Z16" s="906">
        <v>0</v>
      </c>
      <c r="AA16" s="687">
        <f>VLOOKUP(Y16,Düngemittel!$B$6:$E$64,2,FALSE)*(VLOOKUP(Y16,Düngemittel!$B$6:$E$64,3,FALSE))/100*Z16</f>
        <v>0</v>
      </c>
      <c r="AB16" s="687">
        <f>VLOOKUP(Y16,Düngemittel!$B$6:$E$64,2,FALSE)*Z16</f>
        <v>0</v>
      </c>
      <c r="AC16" s="687">
        <f>VLOOKUP(Y16,Düngemittel!$B$6:$E$64,4,FALSE)*Z16</f>
        <v>0</v>
      </c>
      <c r="AE16" s="886"/>
      <c r="AF16" s="887" t="s">
        <v>805</v>
      </c>
      <c r="AG16" s="906">
        <v>0</v>
      </c>
      <c r="AH16" s="687">
        <f>VLOOKUP(AF16,Düngemittel!$B$6:$E$64,2,FALSE)*(VLOOKUP(AF16,Düngemittel!$B$6:$E$64,3,FALSE))/100*AG16</f>
        <v>0</v>
      </c>
      <c r="AI16" s="687">
        <f>VLOOKUP(AF16,Düngemittel!$B$6:$E$64,2,FALSE)*AG16</f>
        <v>0</v>
      </c>
      <c r="AJ16" s="687">
        <f>VLOOKUP(AF16,Düngemittel!$B$6:$E$64,4,FALSE)*AG16</f>
        <v>0</v>
      </c>
      <c r="AL16" s="886"/>
      <c r="AM16" s="887" t="s">
        <v>805</v>
      </c>
      <c r="AN16" s="906">
        <v>0</v>
      </c>
      <c r="AO16" s="687">
        <f>VLOOKUP(AM16,Düngemittel!$B$6:$E$64,2,FALSE)*(VLOOKUP(AM16,Düngemittel!$B$6:$E$64,3,FALSE))/100*AN16</f>
        <v>0</v>
      </c>
      <c r="AP16" s="687">
        <f>VLOOKUP(AM16,Düngemittel!$B$6:$E$64,2,FALSE)*AN16</f>
        <v>0</v>
      </c>
      <c r="AQ16" s="687">
        <f>VLOOKUP(AM16,Düngemittel!$B$6:$E$64,4,FALSE)*AN16</f>
        <v>0</v>
      </c>
      <c r="AS16" s="886"/>
      <c r="AT16" s="887" t="s">
        <v>805</v>
      </c>
      <c r="AU16" s="906">
        <v>0</v>
      </c>
      <c r="AV16" s="687">
        <f>VLOOKUP(AT16,Düngemittel!$B$6:$E$64,2,FALSE)*(VLOOKUP(AT16,Düngemittel!$B$6:$E$64,3,FALSE))/100*AU16</f>
        <v>0</v>
      </c>
      <c r="AW16" s="687">
        <f>VLOOKUP(AT16,Düngemittel!$B$6:$E$64,2,FALSE)*AU16</f>
        <v>0</v>
      </c>
      <c r="AX16" s="687">
        <f>VLOOKUP(AT16,Düngemittel!$B$6:$E$64,4,FALSE)*AU16</f>
        <v>0</v>
      </c>
      <c r="AZ16" s="886"/>
      <c r="BA16" s="887" t="s">
        <v>805</v>
      </c>
      <c r="BB16" s="906">
        <v>0</v>
      </c>
      <c r="BC16" s="687">
        <f>VLOOKUP(BA16,Düngemittel!$B$6:$E$64,2,FALSE)*(VLOOKUP(BA16,Düngemittel!$B$6:$E$64,3,FALSE))/100*BB16</f>
        <v>0</v>
      </c>
      <c r="BD16" s="687">
        <f>VLOOKUP(BA16,Düngemittel!$B$6:$E$64,2,FALSE)*BB16</f>
        <v>0</v>
      </c>
      <c r="BE16" s="687">
        <f>VLOOKUP(BA16,Düngemittel!$B$6:$E$64,4,FALSE)*BB16</f>
        <v>0</v>
      </c>
      <c r="BG16" s="853">
        <f t="shared" si="17"/>
        <v>0</v>
      </c>
      <c r="BH16" s="308">
        <f t="shared" si="18"/>
        <v>0</v>
      </c>
      <c r="BI16" s="853">
        <f t="shared" si="18"/>
        <v>0</v>
      </c>
      <c r="BJ16" s="777">
        <f t="shared" si="19"/>
        <v>0</v>
      </c>
      <c r="BK16" s="308">
        <f t="shared" si="20"/>
        <v>0</v>
      </c>
      <c r="BL16" s="83"/>
      <c r="BM16" s="686">
        <f t="shared" si="21"/>
        <v>0</v>
      </c>
      <c r="BN16" s="686">
        <f t="shared" si="22"/>
        <v>0</v>
      </c>
      <c r="BO16" s="686">
        <f t="shared" si="23"/>
        <v>0</v>
      </c>
      <c r="BP16" s="686">
        <f t="shared" si="24"/>
        <v>0</v>
      </c>
      <c r="BQ16" s="686">
        <f t="shared" si="25"/>
        <v>0</v>
      </c>
      <c r="BT16" s="351">
        <f t="shared" si="11"/>
        <v>0</v>
      </c>
      <c r="BU16" s="351">
        <f t="shared" si="12"/>
        <v>0</v>
      </c>
      <c r="BW16" s="124" t="s">
        <v>16</v>
      </c>
      <c r="BX16" s="124">
        <v>55</v>
      </c>
      <c r="BY16" s="124">
        <v>130</v>
      </c>
      <c r="BZ16" s="124">
        <v>1</v>
      </c>
      <c r="CA16" s="124">
        <v>1.5</v>
      </c>
      <c r="CB16" s="641">
        <v>60</v>
      </c>
      <c r="CC16" s="393">
        <v>0.8</v>
      </c>
      <c r="CD16" s="352">
        <f>BX16*CC16</f>
        <v>44</v>
      </c>
      <c r="CE16" s="32"/>
      <c r="CF16" s="3"/>
    </row>
    <row r="17" spans="1:84" ht="26.25" customHeight="1" x14ac:dyDescent="0.25">
      <c r="A17" s="342"/>
      <c r="B17" s="1215"/>
      <c r="C17" s="600" t="s">
        <v>31</v>
      </c>
      <c r="D17" s="908">
        <f t="shared" si="1"/>
        <v>0</v>
      </c>
      <c r="E17" s="427">
        <f t="shared" si="2"/>
        <v>0</v>
      </c>
      <c r="F17" s="1206"/>
      <c r="G17" s="413">
        <f t="shared" si="3"/>
        <v>0</v>
      </c>
      <c r="H17" s="602" t="s">
        <v>510</v>
      </c>
      <c r="I17" s="427">
        <f t="shared" si="4"/>
        <v>0</v>
      </c>
      <c r="J17" s="430" t="s">
        <v>31</v>
      </c>
      <c r="K17" s="606">
        <f t="shared" si="5"/>
        <v>0</v>
      </c>
      <c r="L17" s="408">
        <f t="shared" si="6"/>
        <v>0</v>
      </c>
      <c r="M17" s="1209"/>
      <c r="N17" s="450" t="s">
        <v>160</v>
      </c>
      <c r="O17" s="427">
        <f t="shared" si="7"/>
        <v>0</v>
      </c>
      <c r="P17" s="1212"/>
      <c r="Q17" s="747">
        <f t="shared" si="13"/>
        <v>0</v>
      </c>
      <c r="R17" s="608">
        <f t="shared" si="8"/>
        <v>0</v>
      </c>
      <c r="S17" s="479">
        <f t="shared" si="9"/>
        <v>0</v>
      </c>
      <c r="T17" s="435">
        <f t="shared" si="14"/>
        <v>0</v>
      </c>
      <c r="V17" s="852">
        <f t="shared" si="15"/>
        <v>0</v>
      </c>
      <c r="W17" s="852" t="str">
        <f t="shared" si="16"/>
        <v>keine</v>
      </c>
      <c r="X17" s="886"/>
      <c r="Y17" s="887" t="s">
        <v>805</v>
      </c>
      <c r="Z17" s="906">
        <v>0</v>
      </c>
      <c r="AA17" s="687">
        <f>VLOOKUP(Y17,Düngemittel!$B$6:$E$64,2,FALSE)*(VLOOKUP(Y17,Düngemittel!$B$6:$E$64,3,FALSE))/100*Z17</f>
        <v>0</v>
      </c>
      <c r="AB17" s="687">
        <f>VLOOKUP(Y17,Düngemittel!$B$6:$E$64,2,FALSE)*Z17</f>
        <v>0</v>
      </c>
      <c r="AC17" s="687">
        <f>VLOOKUP(Y17,Düngemittel!$B$6:$E$64,4,FALSE)*Z17</f>
        <v>0</v>
      </c>
      <c r="AE17" s="886"/>
      <c r="AF17" s="887" t="s">
        <v>805</v>
      </c>
      <c r="AG17" s="906">
        <v>0</v>
      </c>
      <c r="AH17" s="687">
        <f>VLOOKUP(AF17,Düngemittel!$B$6:$E$64,2,FALSE)*(VLOOKUP(AF17,Düngemittel!$B$6:$E$64,3,FALSE))/100*AG17</f>
        <v>0</v>
      </c>
      <c r="AI17" s="687">
        <f>VLOOKUP(AF17,Düngemittel!$B$6:$E$64,2,FALSE)*AG17</f>
        <v>0</v>
      </c>
      <c r="AJ17" s="687">
        <f>VLOOKUP(AF17,Düngemittel!$B$6:$E$64,4,FALSE)*AG17</f>
        <v>0</v>
      </c>
      <c r="AL17" s="886"/>
      <c r="AM17" s="887" t="s">
        <v>805</v>
      </c>
      <c r="AN17" s="906">
        <v>0</v>
      </c>
      <c r="AO17" s="687">
        <f>VLOOKUP(AM17,Düngemittel!$B$6:$E$64,2,FALSE)*(VLOOKUP(AM17,Düngemittel!$B$6:$E$64,3,FALSE))/100*AN17</f>
        <v>0</v>
      </c>
      <c r="AP17" s="687">
        <f>VLOOKUP(AM17,Düngemittel!$B$6:$E$64,2,FALSE)*AN17</f>
        <v>0</v>
      </c>
      <c r="AQ17" s="687">
        <f>VLOOKUP(AM17,Düngemittel!$B$6:$E$64,4,FALSE)*AN17</f>
        <v>0</v>
      </c>
      <c r="AS17" s="886"/>
      <c r="AT17" s="887" t="s">
        <v>805</v>
      </c>
      <c r="AU17" s="906">
        <v>0</v>
      </c>
      <c r="AV17" s="687">
        <f>VLOOKUP(AT17,Düngemittel!$B$6:$E$64,2,FALSE)*(VLOOKUP(AT17,Düngemittel!$B$6:$E$64,3,FALSE))/100*AU17</f>
        <v>0</v>
      </c>
      <c r="AW17" s="687">
        <f>VLOOKUP(AT17,Düngemittel!$B$6:$E$64,2,FALSE)*AU17</f>
        <v>0</v>
      </c>
      <c r="AX17" s="687">
        <f>VLOOKUP(AT17,Düngemittel!$B$6:$E$64,4,FALSE)*AU17</f>
        <v>0</v>
      </c>
      <c r="AZ17" s="886"/>
      <c r="BA17" s="887" t="s">
        <v>805</v>
      </c>
      <c r="BB17" s="906">
        <v>0</v>
      </c>
      <c r="BC17" s="687">
        <f>VLOOKUP(BA17,Düngemittel!$B$6:$E$64,2,FALSE)*(VLOOKUP(BA17,Düngemittel!$B$6:$E$64,3,FALSE))/100*BB17</f>
        <v>0</v>
      </c>
      <c r="BD17" s="687">
        <f>VLOOKUP(BA17,Düngemittel!$B$6:$E$64,2,FALSE)*BB17</f>
        <v>0</v>
      </c>
      <c r="BE17" s="687">
        <f>VLOOKUP(BA17,Düngemittel!$B$6:$E$64,4,FALSE)*BB17</f>
        <v>0</v>
      </c>
      <c r="BG17" s="853">
        <f t="shared" si="17"/>
        <v>0</v>
      </c>
      <c r="BH17" s="308">
        <f t="shared" si="18"/>
        <v>0</v>
      </c>
      <c r="BI17" s="853">
        <f t="shared" si="18"/>
        <v>0</v>
      </c>
      <c r="BJ17" s="777">
        <f t="shared" si="19"/>
        <v>0</v>
      </c>
      <c r="BK17" s="308">
        <f t="shared" si="20"/>
        <v>0</v>
      </c>
      <c r="BL17" s="83"/>
      <c r="BM17" s="686">
        <f t="shared" si="21"/>
        <v>0</v>
      </c>
      <c r="BN17" s="686">
        <f t="shared" si="22"/>
        <v>0</v>
      </c>
      <c r="BO17" s="686">
        <f t="shared" si="23"/>
        <v>0</v>
      </c>
      <c r="BP17" s="686">
        <f t="shared" si="24"/>
        <v>0</v>
      </c>
      <c r="BQ17" s="686">
        <f t="shared" si="25"/>
        <v>0</v>
      </c>
      <c r="BT17" s="351">
        <f t="shared" si="11"/>
        <v>0</v>
      </c>
      <c r="BU17" s="351">
        <f t="shared" si="12"/>
        <v>0</v>
      </c>
      <c r="BW17" s="580" t="s">
        <v>769</v>
      </c>
      <c r="BX17" s="580">
        <v>550</v>
      </c>
      <c r="BY17" s="580">
        <v>200</v>
      </c>
      <c r="BZ17" s="580">
        <v>0.2</v>
      </c>
      <c r="CA17" s="580">
        <v>0.3</v>
      </c>
      <c r="CB17" s="591">
        <v>60</v>
      </c>
      <c r="CC17" s="393">
        <v>0.12</v>
      </c>
      <c r="CD17" s="352">
        <f t="shared" si="0"/>
        <v>66</v>
      </c>
      <c r="CE17" s="9"/>
      <c r="CF17" s="3"/>
    </row>
    <row r="18" spans="1:84" ht="26.25" customHeight="1" x14ac:dyDescent="0.25">
      <c r="A18" s="342"/>
      <c r="B18" s="1215"/>
      <c r="C18" s="600" t="s">
        <v>31</v>
      </c>
      <c r="D18" s="908">
        <f t="shared" si="1"/>
        <v>0</v>
      </c>
      <c r="E18" s="427">
        <f t="shared" si="2"/>
        <v>0</v>
      </c>
      <c r="F18" s="1206"/>
      <c r="G18" s="413">
        <f t="shared" si="3"/>
        <v>0</v>
      </c>
      <c r="H18" s="602" t="s">
        <v>510</v>
      </c>
      <c r="I18" s="427">
        <f t="shared" si="4"/>
        <v>0</v>
      </c>
      <c r="J18" s="430" t="s">
        <v>31</v>
      </c>
      <c r="K18" s="606">
        <f t="shared" si="5"/>
        <v>0</v>
      </c>
      <c r="L18" s="408">
        <f t="shared" si="6"/>
        <v>0</v>
      </c>
      <c r="M18" s="1209"/>
      <c r="N18" s="450" t="s">
        <v>160</v>
      </c>
      <c r="O18" s="427">
        <f t="shared" si="7"/>
        <v>0</v>
      </c>
      <c r="P18" s="1212"/>
      <c r="Q18" s="747">
        <f t="shared" si="13"/>
        <v>0</v>
      </c>
      <c r="R18" s="608">
        <f t="shared" si="8"/>
        <v>0</v>
      </c>
      <c r="S18" s="479">
        <f t="shared" si="9"/>
        <v>0</v>
      </c>
      <c r="T18" s="435">
        <f t="shared" si="14"/>
        <v>0</v>
      </c>
      <c r="V18" s="852">
        <f t="shared" si="15"/>
        <v>0</v>
      </c>
      <c r="W18" s="852" t="str">
        <f t="shared" si="16"/>
        <v>keine</v>
      </c>
      <c r="X18" s="886"/>
      <c r="Y18" s="887" t="s">
        <v>805</v>
      </c>
      <c r="Z18" s="906">
        <v>0</v>
      </c>
      <c r="AA18" s="687">
        <f>VLOOKUP(Y18,Düngemittel!$B$6:$E$64,2,FALSE)*(VLOOKUP(Y18,Düngemittel!$B$6:$E$64,3,FALSE))/100*Z18</f>
        <v>0</v>
      </c>
      <c r="AB18" s="687">
        <f>VLOOKUP(Y18,Düngemittel!$B$6:$E$64,2,FALSE)*Z18</f>
        <v>0</v>
      </c>
      <c r="AC18" s="687">
        <f>VLOOKUP(Y18,Düngemittel!$B$6:$E$64,4,FALSE)*Z18</f>
        <v>0</v>
      </c>
      <c r="AE18" s="886"/>
      <c r="AF18" s="887" t="s">
        <v>805</v>
      </c>
      <c r="AG18" s="906">
        <v>0</v>
      </c>
      <c r="AH18" s="687">
        <f>VLOOKUP(AF18,Düngemittel!$B$6:$E$64,2,FALSE)*(VLOOKUP(AF18,Düngemittel!$B$6:$E$64,3,FALSE))/100*AG18</f>
        <v>0</v>
      </c>
      <c r="AI18" s="687">
        <f>VLOOKUP(AF18,Düngemittel!$B$6:$E$64,2,FALSE)*AG18</f>
        <v>0</v>
      </c>
      <c r="AJ18" s="687">
        <f>VLOOKUP(AF18,Düngemittel!$B$6:$E$64,4,FALSE)*AG18</f>
        <v>0</v>
      </c>
      <c r="AL18" s="886"/>
      <c r="AM18" s="887" t="s">
        <v>805</v>
      </c>
      <c r="AN18" s="906">
        <v>0</v>
      </c>
      <c r="AO18" s="687">
        <f>VLOOKUP(AM18,Düngemittel!$B$6:$E$64,2,FALSE)*(VLOOKUP(AM18,Düngemittel!$B$6:$E$64,3,FALSE))/100*AN18</f>
        <v>0</v>
      </c>
      <c r="AP18" s="687">
        <f>VLOOKUP(AM18,Düngemittel!$B$6:$E$64,2,FALSE)*AN18</f>
        <v>0</v>
      </c>
      <c r="AQ18" s="687">
        <f>VLOOKUP(AM18,Düngemittel!$B$6:$E$64,4,FALSE)*AN18</f>
        <v>0</v>
      </c>
      <c r="AS18" s="886"/>
      <c r="AT18" s="887" t="s">
        <v>805</v>
      </c>
      <c r="AU18" s="906">
        <v>0</v>
      </c>
      <c r="AV18" s="687">
        <f>VLOOKUP(AT18,Düngemittel!$B$6:$E$64,2,FALSE)*(VLOOKUP(AT18,Düngemittel!$B$6:$E$64,3,FALSE))/100*AU18</f>
        <v>0</v>
      </c>
      <c r="AW18" s="687">
        <f>VLOOKUP(AT18,Düngemittel!$B$6:$E$64,2,FALSE)*AU18</f>
        <v>0</v>
      </c>
      <c r="AX18" s="687">
        <f>VLOOKUP(AT18,Düngemittel!$B$6:$E$64,4,FALSE)*AU18</f>
        <v>0</v>
      </c>
      <c r="AZ18" s="886"/>
      <c r="BA18" s="887" t="s">
        <v>805</v>
      </c>
      <c r="BB18" s="906">
        <v>0</v>
      </c>
      <c r="BC18" s="687">
        <f>VLOOKUP(BA18,Düngemittel!$B$6:$E$64,2,FALSE)*(VLOOKUP(BA18,Düngemittel!$B$6:$E$64,3,FALSE))/100*BB18</f>
        <v>0</v>
      </c>
      <c r="BD18" s="687">
        <f>VLOOKUP(BA18,Düngemittel!$B$6:$E$64,2,FALSE)*BB18</f>
        <v>0</v>
      </c>
      <c r="BE18" s="687">
        <f>VLOOKUP(BA18,Düngemittel!$B$6:$E$64,4,FALSE)*BB18</f>
        <v>0</v>
      </c>
      <c r="BG18" s="853">
        <f t="shared" si="17"/>
        <v>0</v>
      </c>
      <c r="BH18" s="308">
        <f t="shared" si="18"/>
        <v>0</v>
      </c>
      <c r="BI18" s="853">
        <f t="shared" si="18"/>
        <v>0</v>
      </c>
      <c r="BJ18" s="777">
        <f t="shared" si="19"/>
        <v>0</v>
      </c>
      <c r="BK18" s="308">
        <f t="shared" si="20"/>
        <v>0</v>
      </c>
      <c r="BL18" s="83"/>
      <c r="BM18" s="686">
        <f t="shared" si="21"/>
        <v>0</v>
      </c>
      <c r="BN18" s="686">
        <f t="shared" si="22"/>
        <v>0</v>
      </c>
      <c r="BO18" s="686">
        <f t="shared" si="23"/>
        <v>0</v>
      </c>
      <c r="BP18" s="686">
        <f t="shared" si="24"/>
        <v>0</v>
      </c>
      <c r="BQ18" s="686">
        <f t="shared" si="25"/>
        <v>0</v>
      </c>
      <c r="BT18" s="351">
        <f t="shared" si="11"/>
        <v>0</v>
      </c>
      <c r="BU18" s="351">
        <f t="shared" si="12"/>
        <v>0</v>
      </c>
      <c r="BW18" s="124" t="s">
        <v>224</v>
      </c>
      <c r="BX18" s="124">
        <v>450</v>
      </c>
      <c r="BY18" s="124">
        <v>180</v>
      </c>
      <c r="BZ18" s="593">
        <v>0.2</v>
      </c>
      <c r="CA18" s="593">
        <v>0.2</v>
      </c>
      <c r="CB18" s="641">
        <v>60</v>
      </c>
      <c r="CC18" s="393">
        <v>0.14000000000000001</v>
      </c>
      <c r="CD18" s="352">
        <f t="shared" si="0"/>
        <v>63.000000000000007</v>
      </c>
      <c r="CE18" s="9"/>
      <c r="CF18" s="3"/>
    </row>
    <row r="19" spans="1:84" ht="26.25" customHeight="1" x14ac:dyDescent="0.25">
      <c r="A19" s="342"/>
      <c r="B19" s="1215"/>
      <c r="C19" s="600" t="s">
        <v>31</v>
      </c>
      <c r="D19" s="908">
        <f t="shared" si="1"/>
        <v>0</v>
      </c>
      <c r="E19" s="427">
        <f t="shared" si="2"/>
        <v>0</v>
      </c>
      <c r="F19" s="1206"/>
      <c r="G19" s="413">
        <f t="shared" si="3"/>
        <v>0</v>
      </c>
      <c r="H19" s="602" t="s">
        <v>510</v>
      </c>
      <c r="I19" s="427">
        <f t="shared" si="4"/>
        <v>0</v>
      </c>
      <c r="J19" s="430" t="s">
        <v>31</v>
      </c>
      <c r="K19" s="606">
        <f t="shared" si="5"/>
        <v>0</v>
      </c>
      <c r="L19" s="408">
        <f t="shared" si="6"/>
        <v>0</v>
      </c>
      <c r="M19" s="1209"/>
      <c r="N19" s="450" t="s">
        <v>160</v>
      </c>
      <c r="O19" s="427">
        <f t="shared" si="7"/>
        <v>0</v>
      </c>
      <c r="P19" s="1212"/>
      <c r="Q19" s="747">
        <f t="shared" si="13"/>
        <v>0</v>
      </c>
      <c r="R19" s="608">
        <f t="shared" si="8"/>
        <v>0</v>
      </c>
      <c r="S19" s="479">
        <f t="shared" si="9"/>
        <v>0</v>
      </c>
      <c r="T19" s="435">
        <f t="shared" si="14"/>
        <v>0</v>
      </c>
      <c r="V19" s="852">
        <f t="shared" si="15"/>
        <v>0</v>
      </c>
      <c r="W19" s="852" t="str">
        <f t="shared" si="16"/>
        <v>keine</v>
      </c>
      <c r="X19" s="886"/>
      <c r="Y19" s="887" t="s">
        <v>805</v>
      </c>
      <c r="Z19" s="906">
        <v>0</v>
      </c>
      <c r="AA19" s="687">
        <f>VLOOKUP(Y19,Düngemittel!$B$6:$E$64,2,FALSE)*(VLOOKUP(Y19,Düngemittel!$B$6:$E$64,3,FALSE))/100*Z19</f>
        <v>0</v>
      </c>
      <c r="AB19" s="687">
        <f>VLOOKUP(Y19,Düngemittel!$B$6:$E$64,2,FALSE)*Z19</f>
        <v>0</v>
      </c>
      <c r="AC19" s="687">
        <f>VLOOKUP(Y19,Düngemittel!$B$6:$E$64,4,FALSE)*Z19</f>
        <v>0</v>
      </c>
      <c r="AE19" s="886"/>
      <c r="AF19" s="887" t="s">
        <v>805</v>
      </c>
      <c r="AG19" s="906">
        <v>0</v>
      </c>
      <c r="AH19" s="687">
        <f>VLOOKUP(AF19,Düngemittel!$B$6:$E$64,2,FALSE)*(VLOOKUP(AF19,Düngemittel!$B$6:$E$64,3,FALSE))/100*AG19</f>
        <v>0</v>
      </c>
      <c r="AI19" s="687">
        <f>VLOOKUP(AF19,Düngemittel!$B$6:$E$64,2,FALSE)*AG19</f>
        <v>0</v>
      </c>
      <c r="AJ19" s="687">
        <f>VLOOKUP(AF19,Düngemittel!$B$6:$E$64,4,FALSE)*AG19</f>
        <v>0</v>
      </c>
      <c r="AL19" s="886"/>
      <c r="AM19" s="887" t="s">
        <v>805</v>
      </c>
      <c r="AN19" s="906">
        <v>0</v>
      </c>
      <c r="AO19" s="687">
        <f>VLOOKUP(AM19,Düngemittel!$B$6:$E$64,2,FALSE)*(VLOOKUP(AM19,Düngemittel!$B$6:$E$64,3,FALSE))/100*AN19</f>
        <v>0</v>
      </c>
      <c r="AP19" s="687">
        <f>VLOOKUP(AM19,Düngemittel!$B$6:$E$64,2,FALSE)*AN19</f>
        <v>0</v>
      </c>
      <c r="AQ19" s="687">
        <f>VLOOKUP(AM19,Düngemittel!$B$6:$E$64,4,FALSE)*AN19</f>
        <v>0</v>
      </c>
      <c r="AS19" s="886"/>
      <c r="AT19" s="887" t="s">
        <v>805</v>
      </c>
      <c r="AU19" s="906">
        <v>0</v>
      </c>
      <c r="AV19" s="687">
        <f>VLOOKUP(AT19,Düngemittel!$B$6:$E$64,2,FALSE)*(VLOOKUP(AT19,Düngemittel!$B$6:$E$64,3,FALSE))/100*AU19</f>
        <v>0</v>
      </c>
      <c r="AW19" s="687">
        <f>VLOOKUP(AT19,Düngemittel!$B$6:$E$64,2,FALSE)*AU19</f>
        <v>0</v>
      </c>
      <c r="AX19" s="687">
        <f>VLOOKUP(AT19,Düngemittel!$B$6:$E$64,4,FALSE)*AU19</f>
        <v>0</v>
      </c>
      <c r="AZ19" s="886"/>
      <c r="BA19" s="887" t="s">
        <v>805</v>
      </c>
      <c r="BB19" s="906">
        <v>0</v>
      </c>
      <c r="BC19" s="687">
        <f>VLOOKUP(BA19,Düngemittel!$B$6:$E$64,2,FALSE)*(VLOOKUP(BA19,Düngemittel!$B$6:$E$64,3,FALSE))/100*BB19</f>
        <v>0</v>
      </c>
      <c r="BD19" s="687">
        <f>VLOOKUP(BA19,Düngemittel!$B$6:$E$64,2,FALSE)*BB19</f>
        <v>0</v>
      </c>
      <c r="BE19" s="687">
        <f>VLOOKUP(BA19,Düngemittel!$B$6:$E$64,4,FALSE)*BB19</f>
        <v>0</v>
      </c>
      <c r="BG19" s="853">
        <f t="shared" si="17"/>
        <v>0</v>
      </c>
      <c r="BH19" s="308">
        <f t="shared" si="18"/>
        <v>0</v>
      </c>
      <c r="BI19" s="853">
        <f t="shared" si="18"/>
        <v>0</v>
      </c>
      <c r="BJ19" s="777">
        <f t="shared" si="19"/>
        <v>0</v>
      </c>
      <c r="BK19" s="308">
        <f t="shared" si="20"/>
        <v>0</v>
      </c>
      <c r="BL19" s="83"/>
      <c r="BM19" s="686">
        <f t="shared" si="21"/>
        <v>0</v>
      </c>
      <c r="BN19" s="686">
        <f t="shared" si="22"/>
        <v>0</v>
      </c>
      <c r="BO19" s="686">
        <f t="shared" si="23"/>
        <v>0</v>
      </c>
      <c r="BP19" s="686">
        <f t="shared" si="24"/>
        <v>0</v>
      </c>
      <c r="BQ19" s="686">
        <f t="shared" si="25"/>
        <v>0</v>
      </c>
      <c r="BT19" s="351">
        <f t="shared" si="11"/>
        <v>0</v>
      </c>
      <c r="BU19" s="351">
        <f t="shared" si="12"/>
        <v>0</v>
      </c>
      <c r="BW19" s="124" t="s">
        <v>31</v>
      </c>
      <c r="BX19" s="124">
        <v>0</v>
      </c>
      <c r="BY19" s="124">
        <v>0</v>
      </c>
      <c r="BZ19" s="124">
        <v>0</v>
      </c>
      <c r="CA19" s="124">
        <v>0</v>
      </c>
      <c r="CB19" s="641">
        <v>0</v>
      </c>
      <c r="CC19" s="393">
        <v>0</v>
      </c>
      <c r="CD19" s="352">
        <f t="shared" si="0"/>
        <v>0</v>
      </c>
      <c r="CE19" s="9"/>
      <c r="CF19" s="3"/>
    </row>
    <row r="20" spans="1:84" ht="26.25" customHeight="1" x14ac:dyDescent="0.25">
      <c r="A20" s="342"/>
      <c r="B20" s="1215"/>
      <c r="C20" s="600" t="s">
        <v>31</v>
      </c>
      <c r="D20" s="908">
        <f t="shared" si="1"/>
        <v>0</v>
      </c>
      <c r="E20" s="427">
        <f t="shared" si="2"/>
        <v>0</v>
      </c>
      <c r="F20" s="1206"/>
      <c r="G20" s="413">
        <f t="shared" si="3"/>
        <v>0</v>
      </c>
      <c r="H20" s="602" t="s">
        <v>510</v>
      </c>
      <c r="I20" s="427">
        <f t="shared" si="4"/>
        <v>0</v>
      </c>
      <c r="J20" s="430" t="s">
        <v>31</v>
      </c>
      <c r="K20" s="606">
        <f t="shared" si="5"/>
        <v>0</v>
      </c>
      <c r="L20" s="408">
        <f t="shared" si="6"/>
        <v>0</v>
      </c>
      <c r="M20" s="1209"/>
      <c r="N20" s="450" t="s">
        <v>160</v>
      </c>
      <c r="O20" s="427">
        <f t="shared" si="7"/>
        <v>0</v>
      </c>
      <c r="P20" s="1212"/>
      <c r="Q20" s="747">
        <f t="shared" si="13"/>
        <v>0</v>
      </c>
      <c r="R20" s="608">
        <f t="shared" si="8"/>
        <v>0</v>
      </c>
      <c r="S20" s="479">
        <f t="shared" si="9"/>
        <v>0</v>
      </c>
      <c r="T20" s="435">
        <f t="shared" si="14"/>
        <v>0</v>
      </c>
      <c r="V20" s="852">
        <f t="shared" si="15"/>
        <v>0</v>
      </c>
      <c r="W20" s="852" t="str">
        <f t="shared" si="16"/>
        <v>keine</v>
      </c>
      <c r="X20" s="886"/>
      <c r="Y20" s="887" t="s">
        <v>805</v>
      </c>
      <c r="Z20" s="906">
        <v>0</v>
      </c>
      <c r="AA20" s="687">
        <f>VLOOKUP(Y20,Düngemittel!$B$6:$E$64,2,FALSE)*(VLOOKUP(Y20,Düngemittel!$B$6:$E$64,3,FALSE))/100*Z20</f>
        <v>0</v>
      </c>
      <c r="AB20" s="687">
        <f>VLOOKUP(Y20,Düngemittel!$B$6:$E$64,2,FALSE)*Z20</f>
        <v>0</v>
      </c>
      <c r="AC20" s="687">
        <f>VLOOKUP(Y20,Düngemittel!$B$6:$E$64,4,FALSE)*Z20</f>
        <v>0</v>
      </c>
      <c r="AE20" s="886"/>
      <c r="AF20" s="887" t="s">
        <v>805</v>
      </c>
      <c r="AG20" s="906">
        <v>0</v>
      </c>
      <c r="AH20" s="687">
        <f>VLOOKUP(AF20,Düngemittel!$B$6:$E$64,2,FALSE)*(VLOOKUP(AF20,Düngemittel!$B$6:$E$64,3,FALSE))/100*AG20</f>
        <v>0</v>
      </c>
      <c r="AI20" s="687">
        <f>VLOOKUP(AF20,Düngemittel!$B$6:$E$64,2,FALSE)*AG20</f>
        <v>0</v>
      </c>
      <c r="AJ20" s="687">
        <f>VLOOKUP(AF20,Düngemittel!$B$6:$E$64,4,FALSE)*AG20</f>
        <v>0</v>
      </c>
      <c r="AL20" s="886"/>
      <c r="AM20" s="887" t="s">
        <v>805</v>
      </c>
      <c r="AN20" s="906">
        <v>0</v>
      </c>
      <c r="AO20" s="687">
        <f>VLOOKUP(AM20,Düngemittel!$B$6:$E$64,2,FALSE)*(VLOOKUP(AM20,Düngemittel!$B$6:$E$64,3,FALSE))/100*AN20</f>
        <v>0</v>
      </c>
      <c r="AP20" s="687">
        <f>VLOOKUP(AM20,Düngemittel!$B$6:$E$64,2,FALSE)*AN20</f>
        <v>0</v>
      </c>
      <c r="AQ20" s="687">
        <f>VLOOKUP(AM20,Düngemittel!$B$6:$E$64,4,FALSE)*AN20</f>
        <v>0</v>
      </c>
      <c r="AS20" s="886"/>
      <c r="AT20" s="887" t="s">
        <v>805</v>
      </c>
      <c r="AU20" s="906">
        <v>0</v>
      </c>
      <c r="AV20" s="687">
        <f>VLOOKUP(AT20,Düngemittel!$B$6:$E$64,2,FALSE)*(VLOOKUP(AT20,Düngemittel!$B$6:$E$64,3,FALSE))/100*AU20</f>
        <v>0</v>
      </c>
      <c r="AW20" s="687">
        <f>VLOOKUP(AT20,Düngemittel!$B$6:$E$64,2,FALSE)*AU20</f>
        <v>0</v>
      </c>
      <c r="AX20" s="687">
        <f>VLOOKUP(AT20,Düngemittel!$B$6:$E$64,4,FALSE)*AU20</f>
        <v>0</v>
      </c>
      <c r="AZ20" s="886"/>
      <c r="BA20" s="887" t="s">
        <v>805</v>
      </c>
      <c r="BB20" s="906">
        <v>0</v>
      </c>
      <c r="BC20" s="687">
        <f>VLOOKUP(BA20,Düngemittel!$B$6:$E$64,2,FALSE)*(VLOOKUP(BA20,Düngemittel!$B$6:$E$64,3,FALSE))/100*BB20</f>
        <v>0</v>
      </c>
      <c r="BD20" s="687">
        <f>VLOOKUP(BA20,Düngemittel!$B$6:$E$64,2,FALSE)*BB20</f>
        <v>0</v>
      </c>
      <c r="BE20" s="687">
        <f>VLOOKUP(BA20,Düngemittel!$B$6:$E$64,4,FALSE)*BB20</f>
        <v>0</v>
      </c>
      <c r="BG20" s="853">
        <f t="shared" si="17"/>
        <v>0</v>
      </c>
      <c r="BH20" s="308">
        <f t="shared" si="18"/>
        <v>0</v>
      </c>
      <c r="BI20" s="853">
        <f t="shared" si="18"/>
        <v>0</v>
      </c>
      <c r="BJ20" s="777">
        <f t="shared" si="19"/>
        <v>0</v>
      </c>
      <c r="BK20" s="308">
        <f t="shared" si="20"/>
        <v>0</v>
      </c>
      <c r="BL20" s="83"/>
      <c r="BM20" s="686">
        <f t="shared" si="21"/>
        <v>0</v>
      </c>
      <c r="BN20" s="686">
        <f t="shared" si="22"/>
        <v>0</v>
      </c>
      <c r="BO20" s="686">
        <f t="shared" si="23"/>
        <v>0</v>
      </c>
      <c r="BP20" s="686">
        <f t="shared" si="24"/>
        <v>0</v>
      </c>
      <c r="BQ20" s="686">
        <f t="shared" si="25"/>
        <v>0</v>
      </c>
      <c r="BT20" s="351">
        <f t="shared" si="11"/>
        <v>0</v>
      </c>
      <c r="BU20" s="351">
        <f t="shared" si="12"/>
        <v>0</v>
      </c>
      <c r="BW20" s="240" t="s">
        <v>689</v>
      </c>
      <c r="BX20" s="240">
        <v>250</v>
      </c>
      <c r="BY20" s="240">
        <v>185</v>
      </c>
      <c r="BZ20" s="240">
        <v>0.2</v>
      </c>
      <c r="CA20" s="240">
        <v>0.3</v>
      </c>
      <c r="CB20" s="641">
        <v>60</v>
      </c>
      <c r="CC20" s="393">
        <v>0.2</v>
      </c>
      <c r="CD20" s="352">
        <f t="shared" si="0"/>
        <v>50</v>
      </c>
      <c r="CE20" s="9"/>
      <c r="CF20" s="3"/>
    </row>
    <row r="21" spans="1:84" ht="26.25" customHeight="1" x14ac:dyDescent="0.25">
      <c r="A21" s="342"/>
      <c r="B21" s="1215"/>
      <c r="C21" s="600" t="s">
        <v>31</v>
      </c>
      <c r="D21" s="908">
        <f t="shared" si="1"/>
        <v>0</v>
      </c>
      <c r="E21" s="427">
        <f t="shared" si="2"/>
        <v>0</v>
      </c>
      <c r="F21" s="1206"/>
      <c r="G21" s="413">
        <f t="shared" si="3"/>
        <v>0</v>
      </c>
      <c r="H21" s="602" t="s">
        <v>510</v>
      </c>
      <c r="I21" s="427">
        <f t="shared" si="4"/>
        <v>0</v>
      </c>
      <c r="J21" s="430" t="s">
        <v>31</v>
      </c>
      <c r="K21" s="606">
        <f t="shared" si="5"/>
        <v>0</v>
      </c>
      <c r="L21" s="408">
        <f t="shared" si="6"/>
        <v>0</v>
      </c>
      <c r="M21" s="1209"/>
      <c r="N21" s="450" t="s">
        <v>160</v>
      </c>
      <c r="O21" s="427">
        <f t="shared" si="7"/>
        <v>0</v>
      </c>
      <c r="P21" s="1212"/>
      <c r="Q21" s="747">
        <f t="shared" si="13"/>
        <v>0</v>
      </c>
      <c r="R21" s="608">
        <f t="shared" si="8"/>
        <v>0</v>
      </c>
      <c r="S21" s="479">
        <f t="shared" si="9"/>
        <v>0</v>
      </c>
      <c r="T21" s="435">
        <f t="shared" si="14"/>
        <v>0</v>
      </c>
      <c r="V21" s="852">
        <f t="shared" si="15"/>
        <v>0</v>
      </c>
      <c r="W21" s="852" t="str">
        <f t="shared" si="16"/>
        <v>keine</v>
      </c>
      <c r="X21" s="886"/>
      <c r="Y21" s="887" t="s">
        <v>805</v>
      </c>
      <c r="Z21" s="906">
        <v>0</v>
      </c>
      <c r="AA21" s="687">
        <f>VLOOKUP(Y21,Düngemittel!$B$6:$E$64,2,FALSE)*(VLOOKUP(Y21,Düngemittel!$B$6:$E$64,3,FALSE))/100*Z21</f>
        <v>0</v>
      </c>
      <c r="AB21" s="687">
        <f>VLOOKUP(Y21,Düngemittel!$B$6:$E$64,2,FALSE)*Z21</f>
        <v>0</v>
      </c>
      <c r="AC21" s="687">
        <f>VLOOKUP(Y21,Düngemittel!$B$6:$E$64,4,FALSE)*Z21</f>
        <v>0</v>
      </c>
      <c r="AE21" s="886"/>
      <c r="AF21" s="887" t="s">
        <v>805</v>
      </c>
      <c r="AG21" s="906">
        <v>0</v>
      </c>
      <c r="AH21" s="687">
        <f>VLOOKUP(AF21,Düngemittel!$B$6:$E$64,2,FALSE)*(VLOOKUP(AF21,Düngemittel!$B$6:$E$64,3,FALSE))/100*AG21</f>
        <v>0</v>
      </c>
      <c r="AI21" s="687">
        <f>VLOOKUP(AF21,Düngemittel!$B$6:$E$64,2,FALSE)*AG21</f>
        <v>0</v>
      </c>
      <c r="AJ21" s="687">
        <f>VLOOKUP(AF21,Düngemittel!$B$6:$E$64,4,FALSE)*AG21</f>
        <v>0</v>
      </c>
      <c r="AL21" s="886"/>
      <c r="AM21" s="887" t="s">
        <v>805</v>
      </c>
      <c r="AN21" s="906">
        <v>0</v>
      </c>
      <c r="AO21" s="687">
        <f>VLOOKUP(AM21,Düngemittel!$B$6:$E$64,2,FALSE)*(VLOOKUP(AM21,Düngemittel!$B$6:$E$64,3,FALSE))/100*AN21</f>
        <v>0</v>
      </c>
      <c r="AP21" s="687">
        <f>VLOOKUP(AM21,Düngemittel!$B$6:$E$64,2,FALSE)*AN21</f>
        <v>0</v>
      </c>
      <c r="AQ21" s="687">
        <f>VLOOKUP(AM21,Düngemittel!$B$6:$E$64,4,FALSE)*AN21</f>
        <v>0</v>
      </c>
      <c r="AS21" s="886"/>
      <c r="AT21" s="887" t="s">
        <v>805</v>
      </c>
      <c r="AU21" s="906">
        <v>0</v>
      </c>
      <c r="AV21" s="687">
        <f>VLOOKUP(AT21,Düngemittel!$B$6:$E$64,2,FALSE)*(VLOOKUP(AT21,Düngemittel!$B$6:$E$64,3,FALSE))/100*AU21</f>
        <v>0</v>
      </c>
      <c r="AW21" s="687">
        <f>VLOOKUP(AT21,Düngemittel!$B$6:$E$64,2,FALSE)*AU21</f>
        <v>0</v>
      </c>
      <c r="AX21" s="687">
        <f>VLOOKUP(AT21,Düngemittel!$B$6:$E$64,4,FALSE)*AU21</f>
        <v>0</v>
      </c>
      <c r="AZ21" s="886"/>
      <c r="BA21" s="887" t="s">
        <v>805</v>
      </c>
      <c r="BB21" s="906">
        <v>0</v>
      </c>
      <c r="BC21" s="687">
        <f>VLOOKUP(BA21,Düngemittel!$B$6:$E$64,2,FALSE)*(VLOOKUP(BA21,Düngemittel!$B$6:$E$64,3,FALSE))/100*BB21</f>
        <v>0</v>
      </c>
      <c r="BD21" s="687">
        <f>VLOOKUP(BA21,Düngemittel!$B$6:$E$64,2,FALSE)*BB21</f>
        <v>0</v>
      </c>
      <c r="BE21" s="687">
        <f>VLOOKUP(BA21,Düngemittel!$B$6:$E$64,4,FALSE)*BB21</f>
        <v>0</v>
      </c>
      <c r="BG21" s="853">
        <f t="shared" si="17"/>
        <v>0</v>
      </c>
      <c r="BH21" s="308">
        <f t="shared" si="18"/>
        <v>0</v>
      </c>
      <c r="BI21" s="853">
        <f t="shared" si="18"/>
        <v>0</v>
      </c>
      <c r="BJ21" s="777">
        <f t="shared" si="19"/>
        <v>0</v>
      </c>
      <c r="BK21" s="308">
        <f t="shared" si="20"/>
        <v>0</v>
      </c>
      <c r="BL21" s="83"/>
      <c r="BM21" s="686">
        <f t="shared" si="21"/>
        <v>0</v>
      </c>
      <c r="BN21" s="686">
        <f t="shared" si="22"/>
        <v>0</v>
      </c>
      <c r="BO21" s="686">
        <f t="shared" si="23"/>
        <v>0</v>
      </c>
      <c r="BP21" s="686">
        <f t="shared" si="24"/>
        <v>0</v>
      </c>
      <c r="BQ21" s="686">
        <f t="shared" si="25"/>
        <v>0</v>
      </c>
      <c r="BT21" s="351">
        <f t="shared" si="11"/>
        <v>0</v>
      </c>
      <c r="BU21" s="351">
        <f t="shared" si="12"/>
        <v>0</v>
      </c>
      <c r="BW21" s="580" t="s">
        <v>761</v>
      </c>
      <c r="BX21" s="580">
        <v>50</v>
      </c>
      <c r="BY21" s="580">
        <v>130</v>
      </c>
      <c r="BZ21" s="580">
        <v>1</v>
      </c>
      <c r="CA21" s="580">
        <v>1.5</v>
      </c>
      <c r="CB21" s="641">
        <v>60</v>
      </c>
      <c r="CC21" s="393">
        <v>0.8</v>
      </c>
      <c r="CD21" s="352">
        <f t="shared" si="0"/>
        <v>40</v>
      </c>
      <c r="CE21" s="9"/>
      <c r="CF21" s="3"/>
    </row>
    <row r="22" spans="1:84" ht="26.25" customHeight="1" x14ac:dyDescent="0.25">
      <c r="A22" s="342"/>
      <c r="B22" s="1215"/>
      <c r="C22" s="600" t="s">
        <v>31</v>
      </c>
      <c r="D22" s="908">
        <f t="shared" si="1"/>
        <v>0</v>
      </c>
      <c r="E22" s="427">
        <f t="shared" si="2"/>
        <v>0</v>
      </c>
      <c r="F22" s="1206"/>
      <c r="G22" s="413">
        <f t="shared" si="3"/>
        <v>0</v>
      </c>
      <c r="H22" s="602" t="s">
        <v>510</v>
      </c>
      <c r="I22" s="427">
        <f t="shared" si="4"/>
        <v>0</v>
      </c>
      <c r="J22" s="430" t="s">
        <v>31</v>
      </c>
      <c r="K22" s="606">
        <f t="shared" si="5"/>
        <v>0</v>
      </c>
      <c r="L22" s="408">
        <f t="shared" si="6"/>
        <v>0</v>
      </c>
      <c r="M22" s="1209"/>
      <c r="N22" s="450" t="s">
        <v>160</v>
      </c>
      <c r="O22" s="427">
        <f t="shared" si="7"/>
        <v>0</v>
      </c>
      <c r="P22" s="1212"/>
      <c r="Q22" s="747">
        <f t="shared" si="13"/>
        <v>0</v>
      </c>
      <c r="R22" s="608">
        <f t="shared" si="8"/>
        <v>0</v>
      </c>
      <c r="S22" s="479">
        <f t="shared" si="9"/>
        <v>0</v>
      </c>
      <c r="T22" s="435">
        <f t="shared" si="14"/>
        <v>0</v>
      </c>
      <c r="V22" s="852">
        <f t="shared" si="15"/>
        <v>0</v>
      </c>
      <c r="W22" s="852" t="str">
        <f t="shared" si="16"/>
        <v>keine</v>
      </c>
      <c r="X22" s="886"/>
      <c r="Y22" s="887" t="s">
        <v>805</v>
      </c>
      <c r="Z22" s="906">
        <v>0</v>
      </c>
      <c r="AA22" s="687">
        <f>VLOOKUP(Y22,Düngemittel!$B$6:$E$64,2,FALSE)*(VLOOKUP(Y22,Düngemittel!$B$6:$E$64,3,FALSE))/100*Z22</f>
        <v>0</v>
      </c>
      <c r="AB22" s="687">
        <f>VLOOKUP(Y22,Düngemittel!$B$6:$E$64,2,FALSE)*Z22</f>
        <v>0</v>
      </c>
      <c r="AC22" s="687">
        <f>VLOOKUP(Y22,Düngemittel!$B$6:$E$64,4,FALSE)*Z22</f>
        <v>0</v>
      </c>
      <c r="AE22" s="886"/>
      <c r="AF22" s="887" t="s">
        <v>805</v>
      </c>
      <c r="AG22" s="906">
        <v>0</v>
      </c>
      <c r="AH22" s="687">
        <f>VLOOKUP(AF22,Düngemittel!$B$6:$E$64,2,FALSE)*(VLOOKUP(AF22,Düngemittel!$B$6:$E$64,3,FALSE))/100*AG22</f>
        <v>0</v>
      </c>
      <c r="AI22" s="687">
        <f>VLOOKUP(AF22,Düngemittel!$B$6:$E$64,2,FALSE)*AG22</f>
        <v>0</v>
      </c>
      <c r="AJ22" s="687">
        <f>VLOOKUP(AF22,Düngemittel!$B$6:$E$64,4,FALSE)*AG22</f>
        <v>0</v>
      </c>
      <c r="AL22" s="886"/>
      <c r="AM22" s="887" t="s">
        <v>805</v>
      </c>
      <c r="AN22" s="906">
        <v>0</v>
      </c>
      <c r="AO22" s="687">
        <f>VLOOKUP(AM22,Düngemittel!$B$6:$E$64,2,FALSE)*(VLOOKUP(AM22,Düngemittel!$B$6:$E$64,3,FALSE))/100*AN22</f>
        <v>0</v>
      </c>
      <c r="AP22" s="687">
        <f>VLOOKUP(AM22,Düngemittel!$B$6:$E$64,2,FALSE)*AN22</f>
        <v>0</v>
      </c>
      <c r="AQ22" s="687">
        <f>VLOOKUP(AM22,Düngemittel!$B$6:$E$64,4,FALSE)*AN22</f>
        <v>0</v>
      </c>
      <c r="AS22" s="886"/>
      <c r="AT22" s="887" t="s">
        <v>805</v>
      </c>
      <c r="AU22" s="906">
        <v>0</v>
      </c>
      <c r="AV22" s="687">
        <f>VLOOKUP(AT22,Düngemittel!$B$6:$E$64,2,FALSE)*(VLOOKUP(AT22,Düngemittel!$B$6:$E$64,3,FALSE))/100*AU22</f>
        <v>0</v>
      </c>
      <c r="AW22" s="687">
        <f>VLOOKUP(AT22,Düngemittel!$B$6:$E$64,2,FALSE)*AU22</f>
        <v>0</v>
      </c>
      <c r="AX22" s="687">
        <f>VLOOKUP(AT22,Düngemittel!$B$6:$E$64,4,FALSE)*AU22</f>
        <v>0</v>
      </c>
      <c r="AZ22" s="886"/>
      <c r="BA22" s="887" t="s">
        <v>805</v>
      </c>
      <c r="BB22" s="906">
        <v>0</v>
      </c>
      <c r="BC22" s="687">
        <f>VLOOKUP(BA22,Düngemittel!$B$6:$E$64,2,FALSE)*(VLOOKUP(BA22,Düngemittel!$B$6:$E$64,3,FALSE))/100*BB22</f>
        <v>0</v>
      </c>
      <c r="BD22" s="687">
        <f>VLOOKUP(BA22,Düngemittel!$B$6:$E$64,2,FALSE)*BB22</f>
        <v>0</v>
      </c>
      <c r="BE22" s="687">
        <f>VLOOKUP(BA22,Düngemittel!$B$6:$E$64,4,FALSE)*BB22</f>
        <v>0</v>
      </c>
      <c r="BG22" s="853">
        <f t="shared" si="17"/>
        <v>0</v>
      </c>
      <c r="BH22" s="308">
        <f t="shared" si="18"/>
        <v>0</v>
      </c>
      <c r="BI22" s="853">
        <f t="shared" si="18"/>
        <v>0</v>
      </c>
      <c r="BJ22" s="777">
        <f t="shared" si="19"/>
        <v>0</v>
      </c>
      <c r="BK22" s="308">
        <f t="shared" si="20"/>
        <v>0</v>
      </c>
      <c r="BL22" s="83"/>
      <c r="BM22" s="686">
        <f t="shared" si="21"/>
        <v>0</v>
      </c>
      <c r="BN22" s="686">
        <f t="shared" si="22"/>
        <v>0</v>
      </c>
      <c r="BO22" s="686">
        <f t="shared" si="23"/>
        <v>0</v>
      </c>
      <c r="BP22" s="686">
        <f t="shared" si="24"/>
        <v>0</v>
      </c>
      <c r="BQ22" s="686">
        <f t="shared" si="25"/>
        <v>0</v>
      </c>
      <c r="BT22" s="351">
        <f t="shared" si="11"/>
        <v>0</v>
      </c>
      <c r="BU22" s="351">
        <f t="shared" si="12"/>
        <v>0</v>
      </c>
      <c r="BW22" s="240" t="s">
        <v>704</v>
      </c>
      <c r="BX22" s="240">
        <v>40</v>
      </c>
      <c r="BY22" s="240">
        <v>60</v>
      </c>
      <c r="BZ22" s="240">
        <v>0</v>
      </c>
      <c r="CA22" s="240">
        <v>0</v>
      </c>
      <c r="CB22" s="393">
        <v>30</v>
      </c>
      <c r="CC22" s="393">
        <v>1.2</v>
      </c>
      <c r="CD22" s="352">
        <f t="shared" si="0"/>
        <v>48</v>
      </c>
      <c r="CE22" s="9"/>
      <c r="CF22" s="3"/>
    </row>
    <row r="23" spans="1:84" ht="26.25" customHeight="1" x14ac:dyDescent="0.25">
      <c r="A23" s="342"/>
      <c r="B23" s="1215"/>
      <c r="C23" s="600" t="s">
        <v>31</v>
      </c>
      <c r="D23" s="908">
        <f t="shared" si="1"/>
        <v>0</v>
      </c>
      <c r="E23" s="427">
        <f t="shared" si="2"/>
        <v>0</v>
      </c>
      <c r="F23" s="1206"/>
      <c r="G23" s="413">
        <f t="shared" si="3"/>
        <v>0</v>
      </c>
      <c r="H23" s="602" t="s">
        <v>510</v>
      </c>
      <c r="I23" s="427">
        <f t="shared" si="4"/>
        <v>0</v>
      </c>
      <c r="J23" s="430" t="s">
        <v>31</v>
      </c>
      <c r="K23" s="606">
        <f t="shared" si="5"/>
        <v>0</v>
      </c>
      <c r="L23" s="408">
        <f t="shared" si="6"/>
        <v>0</v>
      </c>
      <c r="M23" s="1209"/>
      <c r="N23" s="450" t="s">
        <v>160</v>
      </c>
      <c r="O23" s="427">
        <f t="shared" si="7"/>
        <v>0</v>
      </c>
      <c r="P23" s="1212"/>
      <c r="Q23" s="747">
        <f t="shared" si="13"/>
        <v>0</v>
      </c>
      <c r="R23" s="608">
        <f t="shared" si="8"/>
        <v>0</v>
      </c>
      <c r="S23" s="479">
        <f t="shared" si="9"/>
        <v>0</v>
      </c>
      <c r="T23" s="435">
        <f t="shared" si="14"/>
        <v>0</v>
      </c>
      <c r="V23" s="852">
        <f t="shared" si="15"/>
        <v>0</v>
      </c>
      <c r="W23" s="852" t="str">
        <f t="shared" si="16"/>
        <v>keine</v>
      </c>
      <c r="X23" s="886"/>
      <c r="Y23" s="887" t="s">
        <v>805</v>
      </c>
      <c r="Z23" s="906">
        <v>0</v>
      </c>
      <c r="AA23" s="687">
        <f>VLOOKUP(Y23,Düngemittel!$B$6:$E$64,2,FALSE)*(VLOOKUP(Y23,Düngemittel!$B$6:$E$64,3,FALSE))/100*Z23</f>
        <v>0</v>
      </c>
      <c r="AB23" s="687">
        <f>VLOOKUP(Y23,Düngemittel!$B$6:$E$64,2,FALSE)*Z23</f>
        <v>0</v>
      </c>
      <c r="AC23" s="687">
        <f>VLOOKUP(Y23,Düngemittel!$B$6:$E$64,4,FALSE)*Z23</f>
        <v>0</v>
      </c>
      <c r="AE23" s="886"/>
      <c r="AF23" s="887" t="s">
        <v>805</v>
      </c>
      <c r="AG23" s="906">
        <v>0</v>
      </c>
      <c r="AH23" s="687">
        <f>VLOOKUP(AF23,Düngemittel!$B$6:$E$64,2,FALSE)*(VLOOKUP(AF23,Düngemittel!$B$6:$E$64,3,FALSE))/100*AG23</f>
        <v>0</v>
      </c>
      <c r="AI23" s="687">
        <f>VLOOKUP(AF23,Düngemittel!$B$6:$E$64,2,FALSE)*AG23</f>
        <v>0</v>
      </c>
      <c r="AJ23" s="687">
        <f>VLOOKUP(AF23,Düngemittel!$B$6:$E$64,4,FALSE)*AG23</f>
        <v>0</v>
      </c>
      <c r="AL23" s="886"/>
      <c r="AM23" s="887" t="s">
        <v>805</v>
      </c>
      <c r="AN23" s="906">
        <v>0</v>
      </c>
      <c r="AO23" s="687">
        <f>VLOOKUP(AM23,Düngemittel!$B$6:$E$64,2,FALSE)*(VLOOKUP(AM23,Düngemittel!$B$6:$E$64,3,FALSE))/100*AN23</f>
        <v>0</v>
      </c>
      <c r="AP23" s="687">
        <f>VLOOKUP(AM23,Düngemittel!$B$6:$E$64,2,FALSE)*AN23</f>
        <v>0</v>
      </c>
      <c r="AQ23" s="687">
        <f>VLOOKUP(AM23,Düngemittel!$B$6:$E$64,4,FALSE)*AN23</f>
        <v>0</v>
      </c>
      <c r="AS23" s="886"/>
      <c r="AT23" s="887" t="s">
        <v>805</v>
      </c>
      <c r="AU23" s="906">
        <v>0</v>
      </c>
      <c r="AV23" s="687">
        <f>VLOOKUP(AT23,Düngemittel!$B$6:$E$64,2,FALSE)*(VLOOKUP(AT23,Düngemittel!$B$6:$E$64,3,FALSE))/100*AU23</f>
        <v>0</v>
      </c>
      <c r="AW23" s="687">
        <f>VLOOKUP(AT23,Düngemittel!$B$6:$E$64,2,FALSE)*AU23</f>
        <v>0</v>
      </c>
      <c r="AX23" s="687">
        <f>VLOOKUP(AT23,Düngemittel!$B$6:$E$64,4,FALSE)*AU23</f>
        <v>0</v>
      </c>
      <c r="AZ23" s="886"/>
      <c r="BA23" s="887" t="s">
        <v>805</v>
      </c>
      <c r="BB23" s="906">
        <v>0</v>
      </c>
      <c r="BC23" s="687">
        <f>VLOOKUP(BA23,Düngemittel!$B$6:$E$64,2,FALSE)*(VLOOKUP(BA23,Düngemittel!$B$6:$E$64,3,FALSE))/100*BB23</f>
        <v>0</v>
      </c>
      <c r="BD23" s="687">
        <f>VLOOKUP(BA23,Düngemittel!$B$6:$E$64,2,FALSE)*BB23</f>
        <v>0</v>
      </c>
      <c r="BE23" s="687">
        <f>VLOOKUP(BA23,Düngemittel!$B$6:$E$64,4,FALSE)*BB23</f>
        <v>0</v>
      </c>
      <c r="BG23" s="853">
        <f t="shared" si="17"/>
        <v>0</v>
      </c>
      <c r="BH23" s="308">
        <f t="shared" si="18"/>
        <v>0</v>
      </c>
      <c r="BI23" s="853">
        <f t="shared" si="18"/>
        <v>0</v>
      </c>
      <c r="BJ23" s="777">
        <f t="shared" si="19"/>
        <v>0</v>
      </c>
      <c r="BK23" s="308">
        <f t="shared" si="20"/>
        <v>0</v>
      </c>
      <c r="BL23" s="83"/>
      <c r="BM23" s="686">
        <f t="shared" si="21"/>
        <v>0</v>
      </c>
      <c r="BN23" s="686">
        <f t="shared" si="22"/>
        <v>0</v>
      </c>
      <c r="BO23" s="686">
        <f t="shared" si="23"/>
        <v>0</v>
      </c>
      <c r="BP23" s="686">
        <f t="shared" si="24"/>
        <v>0</v>
      </c>
      <c r="BQ23" s="686">
        <f t="shared" si="25"/>
        <v>0</v>
      </c>
      <c r="BT23" s="351">
        <f t="shared" si="11"/>
        <v>0</v>
      </c>
      <c r="BU23" s="351">
        <f t="shared" si="12"/>
        <v>0</v>
      </c>
      <c r="BW23" s="124" t="s">
        <v>695</v>
      </c>
      <c r="BX23" s="124">
        <v>90</v>
      </c>
      <c r="BY23" s="124">
        <v>200</v>
      </c>
      <c r="BZ23" s="124">
        <v>1</v>
      </c>
      <c r="CA23" s="124">
        <v>1.5</v>
      </c>
      <c r="CB23" s="641">
        <v>90</v>
      </c>
      <c r="CC23" s="393">
        <v>0.8</v>
      </c>
      <c r="CD23" s="352">
        <f t="shared" si="0"/>
        <v>72</v>
      </c>
    </row>
    <row r="24" spans="1:84" ht="26.25" customHeight="1" x14ac:dyDescent="0.25">
      <c r="A24" s="342"/>
      <c r="B24" s="1215"/>
      <c r="C24" s="600" t="s">
        <v>31</v>
      </c>
      <c r="D24" s="908">
        <f t="shared" si="1"/>
        <v>0</v>
      </c>
      <c r="E24" s="427">
        <f t="shared" si="2"/>
        <v>0</v>
      </c>
      <c r="F24" s="1206"/>
      <c r="G24" s="413">
        <f t="shared" si="3"/>
        <v>0</v>
      </c>
      <c r="H24" s="602" t="s">
        <v>510</v>
      </c>
      <c r="I24" s="427">
        <f t="shared" si="4"/>
        <v>0</v>
      </c>
      <c r="J24" s="430" t="s">
        <v>31</v>
      </c>
      <c r="K24" s="606">
        <f t="shared" si="5"/>
        <v>0</v>
      </c>
      <c r="L24" s="408">
        <f t="shared" si="6"/>
        <v>0</v>
      </c>
      <c r="M24" s="1209"/>
      <c r="N24" s="450" t="s">
        <v>160</v>
      </c>
      <c r="O24" s="427">
        <f t="shared" si="7"/>
        <v>0</v>
      </c>
      <c r="P24" s="1212"/>
      <c r="Q24" s="747">
        <f t="shared" si="13"/>
        <v>0</v>
      </c>
      <c r="R24" s="608">
        <f t="shared" si="8"/>
        <v>0</v>
      </c>
      <c r="S24" s="479">
        <f t="shared" si="9"/>
        <v>0</v>
      </c>
      <c r="T24" s="435">
        <f t="shared" si="14"/>
        <v>0</v>
      </c>
      <c r="V24" s="852">
        <f t="shared" si="15"/>
        <v>0</v>
      </c>
      <c r="W24" s="852" t="str">
        <f t="shared" si="16"/>
        <v>keine</v>
      </c>
      <c r="X24" s="886"/>
      <c r="Y24" s="887" t="s">
        <v>805</v>
      </c>
      <c r="Z24" s="906">
        <v>0</v>
      </c>
      <c r="AA24" s="687">
        <f>VLOOKUP(Y24,Düngemittel!$B$6:$E$64,2,FALSE)*(VLOOKUP(Y24,Düngemittel!$B$6:$E$64,3,FALSE))/100*Z24</f>
        <v>0</v>
      </c>
      <c r="AB24" s="687">
        <f>VLOOKUP(Y24,Düngemittel!$B$6:$E$64,2,FALSE)*Z24</f>
        <v>0</v>
      </c>
      <c r="AC24" s="687">
        <f>VLOOKUP(Y24,Düngemittel!$B$6:$E$64,4,FALSE)*Z24</f>
        <v>0</v>
      </c>
      <c r="AE24" s="886"/>
      <c r="AF24" s="887" t="s">
        <v>805</v>
      </c>
      <c r="AG24" s="906">
        <v>0</v>
      </c>
      <c r="AH24" s="687">
        <f>VLOOKUP(AF24,Düngemittel!$B$6:$E$64,2,FALSE)*(VLOOKUP(AF24,Düngemittel!$B$6:$E$64,3,FALSE))/100*AG24</f>
        <v>0</v>
      </c>
      <c r="AI24" s="687">
        <f>VLOOKUP(AF24,Düngemittel!$B$6:$E$64,2,FALSE)*AG24</f>
        <v>0</v>
      </c>
      <c r="AJ24" s="687">
        <f>VLOOKUP(AF24,Düngemittel!$B$6:$E$64,4,FALSE)*AG24</f>
        <v>0</v>
      </c>
      <c r="AL24" s="886"/>
      <c r="AM24" s="887" t="s">
        <v>805</v>
      </c>
      <c r="AN24" s="906">
        <v>0</v>
      </c>
      <c r="AO24" s="687">
        <f>VLOOKUP(AM24,Düngemittel!$B$6:$E$64,2,FALSE)*(VLOOKUP(AM24,Düngemittel!$B$6:$E$64,3,FALSE))/100*AN24</f>
        <v>0</v>
      </c>
      <c r="AP24" s="687">
        <f>VLOOKUP(AM24,Düngemittel!$B$6:$E$64,2,FALSE)*AN24</f>
        <v>0</v>
      </c>
      <c r="AQ24" s="687">
        <f>VLOOKUP(AM24,Düngemittel!$B$6:$E$64,4,FALSE)*AN24</f>
        <v>0</v>
      </c>
      <c r="AS24" s="886"/>
      <c r="AT24" s="887" t="s">
        <v>805</v>
      </c>
      <c r="AU24" s="906">
        <v>0</v>
      </c>
      <c r="AV24" s="687">
        <f>VLOOKUP(AT24,Düngemittel!$B$6:$E$64,2,FALSE)*(VLOOKUP(AT24,Düngemittel!$B$6:$E$64,3,FALSE))/100*AU24</f>
        <v>0</v>
      </c>
      <c r="AW24" s="687">
        <f>VLOOKUP(AT24,Düngemittel!$B$6:$E$64,2,FALSE)*AU24</f>
        <v>0</v>
      </c>
      <c r="AX24" s="687">
        <f>VLOOKUP(AT24,Düngemittel!$B$6:$E$64,4,FALSE)*AU24</f>
        <v>0</v>
      </c>
      <c r="AZ24" s="886"/>
      <c r="BA24" s="887" t="s">
        <v>805</v>
      </c>
      <c r="BB24" s="906">
        <v>0</v>
      </c>
      <c r="BC24" s="687">
        <f>VLOOKUP(BA24,Düngemittel!$B$6:$E$64,2,FALSE)*(VLOOKUP(BA24,Düngemittel!$B$6:$E$64,3,FALSE))/100*BB24</f>
        <v>0</v>
      </c>
      <c r="BD24" s="687">
        <f>VLOOKUP(BA24,Düngemittel!$B$6:$E$64,2,FALSE)*BB24</f>
        <v>0</v>
      </c>
      <c r="BE24" s="687">
        <f>VLOOKUP(BA24,Düngemittel!$B$6:$E$64,4,FALSE)*BB24</f>
        <v>0</v>
      </c>
      <c r="BG24" s="853">
        <f t="shared" si="17"/>
        <v>0</v>
      </c>
      <c r="BH24" s="308">
        <f t="shared" si="18"/>
        <v>0</v>
      </c>
      <c r="BI24" s="853">
        <f t="shared" si="18"/>
        <v>0</v>
      </c>
      <c r="BJ24" s="777">
        <f t="shared" si="19"/>
        <v>0</v>
      </c>
      <c r="BK24" s="308">
        <f t="shared" si="20"/>
        <v>0</v>
      </c>
      <c r="BL24" s="83"/>
      <c r="BM24" s="686">
        <f t="shared" si="21"/>
        <v>0</v>
      </c>
      <c r="BN24" s="686">
        <f t="shared" si="22"/>
        <v>0</v>
      </c>
      <c r="BO24" s="686">
        <f t="shared" si="23"/>
        <v>0</v>
      </c>
      <c r="BP24" s="686">
        <f t="shared" si="24"/>
        <v>0</v>
      </c>
      <c r="BQ24" s="686">
        <f t="shared" si="25"/>
        <v>0</v>
      </c>
      <c r="BT24" s="351">
        <f t="shared" si="11"/>
        <v>0</v>
      </c>
      <c r="BU24" s="351">
        <f t="shared" si="12"/>
        <v>0</v>
      </c>
      <c r="BW24" s="124" t="s">
        <v>479</v>
      </c>
      <c r="BX24" s="124">
        <v>400</v>
      </c>
      <c r="BY24" s="124">
        <v>140</v>
      </c>
      <c r="BZ24" s="124">
        <v>0.25</v>
      </c>
      <c r="CA24" s="124">
        <v>0.25</v>
      </c>
      <c r="CB24" s="641">
        <v>60</v>
      </c>
      <c r="CC24" s="393">
        <v>0.21</v>
      </c>
      <c r="CD24" s="352">
        <f t="shared" si="0"/>
        <v>84</v>
      </c>
    </row>
    <row r="25" spans="1:84" ht="26.25" customHeight="1" x14ac:dyDescent="0.25">
      <c r="A25" s="342"/>
      <c r="B25" s="1215"/>
      <c r="C25" s="600" t="s">
        <v>31</v>
      </c>
      <c r="D25" s="908">
        <f t="shared" si="1"/>
        <v>0</v>
      </c>
      <c r="E25" s="427">
        <f t="shared" si="2"/>
        <v>0</v>
      </c>
      <c r="F25" s="1206"/>
      <c r="G25" s="413">
        <f t="shared" si="3"/>
        <v>0</v>
      </c>
      <c r="H25" s="602" t="s">
        <v>510</v>
      </c>
      <c r="I25" s="427">
        <f t="shared" si="4"/>
        <v>0</v>
      </c>
      <c r="J25" s="430" t="s">
        <v>31</v>
      </c>
      <c r="K25" s="606">
        <f t="shared" si="5"/>
        <v>0</v>
      </c>
      <c r="L25" s="408">
        <f t="shared" si="6"/>
        <v>0</v>
      </c>
      <c r="M25" s="1209"/>
      <c r="N25" s="450" t="s">
        <v>160</v>
      </c>
      <c r="O25" s="427">
        <f t="shared" si="7"/>
        <v>0</v>
      </c>
      <c r="P25" s="1212"/>
      <c r="Q25" s="747">
        <f t="shared" si="13"/>
        <v>0</v>
      </c>
      <c r="R25" s="608">
        <f t="shared" si="8"/>
        <v>0</v>
      </c>
      <c r="S25" s="479">
        <f t="shared" si="9"/>
        <v>0</v>
      </c>
      <c r="T25" s="435">
        <f t="shared" si="14"/>
        <v>0</v>
      </c>
      <c r="V25" s="852">
        <f t="shared" si="15"/>
        <v>0</v>
      </c>
      <c r="W25" s="852" t="str">
        <f t="shared" si="16"/>
        <v>keine</v>
      </c>
      <c r="X25" s="886"/>
      <c r="Y25" s="887" t="s">
        <v>805</v>
      </c>
      <c r="Z25" s="906">
        <v>0</v>
      </c>
      <c r="AA25" s="687">
        <f>VLOOKUP(Y25,Düngemittel!$B$6:$E$64,2,FALSE)*(VLOOKUP(Y25,Düngemittel!$B$6:$E$64,3,FALSE))/100*Z25</f>
        <v>0</v>
      </c>
      <c r="AB25" s="687">
        <f>VLOOKUP(Y25,Düngemittel!$B$6:$E$64,2,FALSE)*Z25</f>
        <v>0</v>
      </c>
      <c r="AC25" s="687">
        <f>VLOOKUP(Y25,Düngemittel!$B$6:$E$64,4,FALSE)*Z25</f>
        <v>0</v>
      </c>
      <c r="AE25" s="886"/>
      <c r="AF25" s="887" t="s">
        <v>805</v>
      </c>
      <c r="AG25" s="906">
        <v>0</v>
      </c>
      <c r="AH25" s="687">
        <f>VLOOKUP(AF25,Düngemittel!$B$6:$E$64,2,FALSE)*(VLOOKUP(AF25,Düngemittel!$B$6:$E$64,3,FALSE))/100*AG25</f>
        <v>0</v>
      </c>
      <c r="AI25" s="687">
        <f>VLOOKUP(AF25,Düngemittel!$B$6:$E$64,2,FALSE)*AG25</f>
        <v>0</v>
      </c>
      <c r="AJ25" s="687">
        <f>VLOOKUP(AF25,Düngemittel!$B$6:$E$64,4,FALSE)*AG25</f>
        <v>0</v>
      </c>
      <c r="AL25" s="886"/>
      <c r="AM25" s="887" t="s">
        <v>805</v>
      </c>
      <c r="AN25" s="906">
        <v>0</v>
      </c>
      <c r="AO25" s="687">
        <f>VLOOKUP(AM25,Düngemittel!$B$6:$E$64,2,FALSE)*(VLOOKUP(AM25,Düngemittel!$B$6:$E$64,3,FALSE))/100*AN25</f>
        <v>0</v>
      </c>
      <c r="AP25" s="687">
        <f>VLOOKUP(AM25,Düngemittel!$B$6:$E$64,2,FALSE)*AN25</f>
        <v>0</v>
      </c>
      <c r="AQ25" s="687">
        <f>VLOOKUP(AM25,Düngemittel!$B$6:$E$64,4,FALSE)*AN25</f>
        <v>0</v>
      </c>
      <c r="AS25" s="886"/>
      <c r="AT25" s="887" t="s">
        <v>805</v>
      </c>
      <c r="AU25" s="906">
        <v>0</v>
      </c>
      <c r="AV25" s="687">
        <f>VLOOKUP(AT25,Düngemittel!$B$6:$E$64,2,FALSE)*(VLOOKUP(AT25,Düngemittel!$B$6:$E$64,3,FALSE))/100*AU25</f>
        <v>0</v>
      </c>
      <c r="AW25" s="687">
        <f>VLOOKUP(AT25,Düngemittel!$B$6:$E$64,2,FALSE)*AU25</f>
        <v>0</v>
      </c>
      <c r="AX25" s="687">
        <f>VLOOKUP(AT25,Düngemittel!$B$6:$E$64,4,FALSE)*AU25</f>
        <v>0</v>
      </c>
      <c r="AZ25" s="886"/>
      <c r="BA25" s="887" t="s">
        <v>805</v>
      </c>
      <c r="BB25" s="906">
        <v>0</v>
      </c>
      <c r="BC25" s="687">
        <f>VLOOKUP(BA25,Düngemittel!$B$6:$E$64,2,FALSE)*(VLOOKUP(BA25,Düngemittel!$B$6:$E$64,3,FALSE))/100*BB25</f>
        <v>0</v>
      </c>
      <c r="BD25" s="687">
        <f>VLOOKUP(BA25,Düngemittel!$B$6:$E$64,2,FALSE)*BB25</f>
        <v>0</v>
      </c>
      <c r="BE25" s="687">
        <f>VLOOKUP(BA25,Düngemittel!$B$6:$E$64,4,FALSE)*BB25</f>
        <v>0</v>
      </c>
      <c r="BG25" s="853">
        <f t="shared" si="17"/>
        <v>0</v>
      </c>
      <c r="BH25" s="308">
        <f t="shared" si="18"/>
        <v>0</v>
      </c>
      <c r="BI25" s="853">
        <f t="shared" si="18"/>
        <v>0</v>
      </c>
      <c r="BJ25" s="777">
        <f t="shared" si="19"/>
        <v>0</v>
      </c>
      <c r="BK25" s="308">
        <f t="shared" si="20"/>
        <v>0</v>
      </c>
      <c r="BL25" s="83"/>
      <c r="BM25" s="686">
        <f t="shared" si="21"/>
        <v>0</v>
      </c>
      <c r="BN25" s="686">
        <f t="shared" si="22"/>
        <v>0</v>
      </c>
      <c r="BO25" s="686">
        <f t="shared" si="23"/>
        <v>0</v>
      </c>
      <c r="BP25" s="686">
        <f t="shared" si="24"/>
        <v>0</v>
      </c>
      <c r="BQ25" s="686">
        <f t="shared" si="25"/>
        <v>0</v>
      </c>
      <c r="BT25" s="351">
        <f t="shared" si="11"/>
        <v>0</v>
      </c>
      <c r="BU25" s="351">
        <f t="shared" si="12"/>
        <v>0</v>
      </c>
      <c r="BW25" s="240" t="s">
        <v>705</v>
      </c>
      <c r="BX25" s="240">
        <v>20</v>
      </c>
      <c r="BY25" s="594">
        <v>110</v>
      </c>
      <c r="BZ25" s="594">
        <v>2</v>
      </c>
      <c r="CA25" s="594">
        <v>3</v>
      </c>
      <c r="CB25" s="641">
        <v>60</v>
      </c>
      <c r="CC25" s="393">
        <v>2</v>
      </c>
      <c r="CD25" s="352">
        <f t="shared" si="0"/>
        <v>40</v>
      </c>
    </row>
    <row r="26" spans="1:84" ht="26.25" customHeight="1" x14ac:dyDescent="0.25">
      <c r="A26" s="342"/>
      <c r="B26" s="1215"/>
      <c r="C26" s="600" t="s">
        <v>31</v>
      </c>
      <c r="D26" s="908">
        <f t="shared" si="1"/>
        <v>0</v>
      </c>
      <c r="E26" s="427">
        <f t="shared" si="2"/>
        <v>0</v>
      </c>
      <c r="F26" s="1206"/>
      <c r="G26" s="413">
        <f t="shared" si="3"/>
        <v>0</v>
      </c>
      <c r="H26" s="602" t="s">
        <v>510</v>
      </c>
      <c r="I26" s="427">
        <f t="shared" si="4"/>
        <v>0</v>
      </c>
      <c r="J26" s="430" t="s">
        <v>31</v>
      </c>
      <c r="K26" s="606">
        <f t="shared" si="5"/>
        <v>0</v>
      </c>
      <c r="L26" s="408">
        <f t="shared" si="6"/>
        <v>0</v>
      </c>
      <c r="M26" s="1209"/>
      <c r="N26" s="450" t="s">
        <v>160</v>
      </c>
      <c r="O26" s="427">
        <f t="shared" si="7"/>
        <v>0</v>
      </c>
      <c r="P26" s="1212"/>
      <c r="Q26" s="747">
        <f t="shared" si="13"/>
        <v>0</v>
      </c>
      <c r="R26" s="608">
        <f t="shared" si="8"/>
        <v>0</v>
      </c>
      <c r="S26" s="479">
        <f t="shared" si="9"/>
        <v>0</v>
      </c>
      <c r="T26" s="435">
        <f t="shared" si="14"/>
        <v>0</v>
      </c>
      <c r="V26" s="852">
        <f t="shared" si="15"/>
        <v>0</v>
      </c>
      <c r="W26" s="852" t="str">
        <f t="shared" si="16"/>
        <v>keine</v>
      </c>
      <c r="X26" s="886"/>
      <c r="Y26" s="887" t="s">
        <v>805</v>
      </c>
      <c r="Z26" s="906">
        <v>0</v>
      </c>
      <c r="AA26" s="687">
        <f>VLOOKUP(Y26,Düngemittel!$B$6:$E$64,2,FALSE)*(VLOOKUP(Y26,Düngemittel!$B$6:$E$64,3,FALSE))/100*Z26</f>
        <v>0</v>
      </c>
      <c r="AB26" s="687">
        <f>VLOOKUP(Y26,Düngemittel!$B$6:$E$64,2,FALSE)*Z26</f>
        <v>0</v>
      </c>
      <c r="AC26" s="687">
        <f>VLOOKUP(Y26,Düngemittel!$B$6:$E$64,4,FALSE)*Z26</f>
        <v>0</v>
      </c>
      <c r="AE26" s="886"/>
      <c r="AF26" s="887" t="s">
        <v>805</v>
      </c>
      <c r="AG26" s="906">
        <v>0</v>
      </c>
      <c r="AH26" s="687">
        <f>VLOOKUP(AF26,Düngemittel!$B$6:$E$64,2,FALSE)*(VLOOKUP(AF26,Düngemittel!$B$6:$E$64,3,FALSE))/100*AG26</f>
        <v>0</v>
      </c>
      <c r="AI26" s="687">
        <f>VLOOKUP(AF26,Düngemittel!$B$6:$E$64,2,FALSE)*AG26</f>
        <v>0</v>
      </c>
      <c r="AJ26" s="687">
        <f>VLOOKUP(AF26,Düngemittel!$B$6:$E$64,4,FALSE)*AG26</f>
        <v>0</v>
      </c>
      <c r="AL26" s="886"/>
      <c r="AM26" s="887" t="s">
        <v>805</v>
      </c>
      <c r="AN26" s="906">
        <v>0</v>
      </c>
      <c r="AO26" s="687">
        <f>VLOOKUP(AM26,Düngemittel!$B$6:$E$64,2,FALSE)*(VLOOKUP(AM26,Düngemittel!$B$6:$E$64,3,FALSE))/100*AN26</f>
        <v>0</v>
      </c>
      <c r="AP26" s="687">
        <f>VLOOKUP(AM26,Düngemittel!$B$6:$E$64,2,FALSE)*AN26</f>
        <v>0</v>
      </c>
      <c r="AQ26" s="687">
        <f>VLOOKUP(AM26,Düngemittel!$B$6:$E$64,4,FALSE)*AN26</f>
        <v>0</v>
      </c>
      <c r="AS26" s="886"/>
      <c r="AT26" s="887" t="s">
        <v>805</v>
      </c>
      <c r="AU26" s="906">
        <v>0</v>
      </c>
      <c r="AV26" s="687">
        <f>VLOOKUP(AT26,Düngemittel!$B$6:$E$64,2,FALSE)*(VLOOKUP(AT26,Düngemittel!$B$6:$E$64,3,FALSE))/100*AU26</f>
        <v>0</v>
      </c>
      <c r="AW26" s="687">
        <f>VLOOKUP(AT26,Düngemittel!$B$6:$E$64,2,FALSE)*AU26</f>
        <v>0</v>
      </c>
      <c r="AX26" s="687">
        <f>VLOOKUP(AT26,Düngemittel!$B$6:$E$64,4,FALSE)*AU26</f>
        <v>0</v>
      </c>
      <c r="AZ26" s="886"/>
      <c r="BA26" s="887" t="s">
        <v>805</v>
      </c>
      <c r="BB26" s="906">
        <v>0</v>
      </c>
      <c r="BC26" s="687">
        <f>VLOOKUP(BA26,Düngemittel!$B$6:$E$64,2,FALSE)*(VLOOKUP(BA26,Düngemittel!$B$6:$E$64,3,FALSE))/100*BB26</f>
        <v>0</v>
      </c>
      <c r="BD26" s="687">
        <f>VLOOKUP(BA26,Düngemittel!$B$6:$E$64,2,FALSE)*BB26</f>
        <v>0</v>
      </c>
      <c r="BE26" s="687">
        <f>VLOOKUP(BA26,Düngemittel!$B$6:$E$64,4,FALSE)*BB26</f>
        <v>0</v>
      </c>
      <c r="BG26" s="853">
        <f t="shared" si="17"/>
        <v>0</v>
      </c>
      <c r="BH26" s="308">
        <f t="shared" si="18"/>
        <v>0</v>
      </c>
      <c r="BI26" s="853">
        <f t="shared" si="18"/>
        <v>0</v>
      </c>
      <c r="BJ26" s="777">
        <f t="shared" si="19"/>
        <v>0</v>
      </c>
      <c r="BK26" s="308">
        <f t="shared" si="20"/>
        <v>0</v>
      </c>
      <c r="BL26" s="83"/>
      <c r="BM26" s="686">
        <f t="shared" si="21"/>
        <v>0</v>
      </c>
      <c r="BN26" s="686">
        <f t="shared" si="22"/>
        <v>0</v>
      </c>
      <c r="BO26" s="686">
        <f t="shared" si="23"/>
        <v>0</v>
      </c>
      <c r="BP26" s="686">
        <f t="shared" si="24"/>
        <v>0</v>
      </c>
      <c r="BQ26" s="686">
        <f t="shared" si="25"/>
        <v>0</v>
      </c>
      <c r="BT26" s="351">
        <f t="shared" si="11"/>
        <v>0</v>
      </c>
      <c r="BU26" s="351">
        <f t="shared" si="12"/>
        <v>0</v>
      </c>
      <c r="BV26" s="126"/>
      <c r="BW26" s="240" t="s">
        <v>763</v>
      </c>
      <c r="BX26" s="240">
        <v>850</v>
      </c>
      <c r="BY26" s="594">
        <v>220</v>
      </c>
      <c r="BZ26" s="595">
        <v>0.18</v>
      </c>
      <c r="CA26" s="595">
        <v>0.22</v>
      </c>
      <c r="CB26" s="641">
        <v>90</v>
      </c>
      <c r="CC26" s="393">
        <v>7.0000000000000007E-2</v>
      </c>
      <c r="CD26" s="352">
        <f t="shared" si="0"/>
        <v>59.500000000000007</v>
      </c>
    </row>
    <row r="27" spans="1:84" ht="26.25" customHeight="1" x14ac:dyDescent="0.25">
      <c r="A27" s="342"/>
      <c r="B27" s="1215"/>
      <c r="C27" s="600" t="s">
        <v>31</v>
      </c>
      <c r="D27" s="908">
        <f t="shared" si="1"/>
        <v>0</v>
      </c>
      <c r="E27" s="427">
        <f t="shared" si="2"/>
        <v>0</v>
      </c>
      <c r="F27" s="1206"/>
      <c r="G27" s="413">
        <f t="shared" si="3"/>
        <v>0</v>
      </c>
      <c r="H27" s="602" t="s">
        <v>510</v>
      </c>
      <c r="I27" s="427">
        <f t="shared" si="4"/>
        <v>0</v>
      </c>
      <c r="J27" s="430" t="s">
        <v>31</v>
      </c>
      <c r="K27" s="606">
        <f t="shared" si="5"/>
        <v>0</v>
      </c>
      <c r="L27" s="408">
        <f t="shared" si="6"/>
        <v>0</v>
      </c>
      <c r="M27" s="1209"/>
      <c r="N27" s="450" t="s">
        <v>160</v>
      </c>
      <c r="O27" s="427">
        <f t="shared" si="7"/>
        <v>0</v>
      </c>
      <c r="P27" s="1212"/>
      <c r="Q27" s="747">
        <f t="shared" si="13"/>
        <v>0</v>
      </c>
      <c r="R27" s="608">
        <f t="shared" si="8"/>
        <v>0</v>
      </c>
      <c r="S27" s="479">
        <f t="shared" si="9"/>
        <v>0</v>
      </c>
      <c r="T27" s="435">
        <f t="shared" si="14"/>
        <v>0</v>
      </c>
      <c r="V27" s="852">
        <f t="shared" si="15"/>
        <v>0</v>
      </c>
      <c r="W27" s="852" t="str">
        <f t="shared" si="16"/>
        <v>keine</v>
      </c>
      <c r="X27" s="886"/>
      <c r="Y27" s="887" t="s">
        <v>805</v>
      </c>
      <c r="Z27" s="906">
        <v>0</v>
      </c>
      <c r="AA27" s="687">
        <f>VLOOKUP(Y27,Düngemittel!$B$6:$E$64,2,FALSE)*(VLOOKUP(Y27,Düngemittel!$B$6:$E$64,3,FALSE))/100*Z27</f>
        <v>0</v>
      </c>
      <c r="AB27" s="687">
        <f>VLOOKUP(Y27,Düngemittel!$B$6:$E$64,2,FALSE)*Z27</f>
        <v>0</v>
      </c>
      <c r="AC27" s="687">
        <f>VLOOKUP(Y27,Düngemittel!$B$6:$E$64,4,FALSE)*Z27</f>
        <v>0</v>
      </c>
      <c r="AE27" s="886"/>
      <c r="AF27" s="887" t="s">
        <v>805</v>
      </c>
      <c r="AG27" s="906">
        <v>0</v>
      </c>
      <c r="AH27" s="687">
        <f>VLOOKUP(AF27,Düngemittel!$B$6:$E$64,2,FALSE)*(VLOOKUP(AF27,Düngemittel!$B$6:$E$64,3,FALSE))/100*AG27</f>
        <v>0</v>
      </c>
      <c r="AI27" s="687">
        <f>VLOOKUP(AF27,Düngemittel!$B$6:$E$64,2,FALSE)*AG27</f>
        <v>0</v>
      </c>
      <c r="AJ27" s="687">
        <f>VLOOKUP(AF27,Düngemittel!$B$6:$E$64,4,FALSE)*AG27</f>
        <v>0</v>
      </c>
      <c r="AL27" s="886"/>
      <c r="AM27" s="887" t="s">
        <v>805</v>
      </c>
      <c r="AN27" s="906">
        <v>0</v>
      </c>
      <c r="AO27" s="687">
        <f>VLOOKUP(AM27,Düngemittel!$B$6:$E$64,2,FALSE)*(VLOOKUP(AM27,Düngemittel!$B$6:$E$64,3,FALSE))/100*AN27</f>
        <v>0</v>
      </c>
      <c r="AP27" s="687">
        <f>VLOOKUP(AM27,Düngemittel!$B$6:$E$64,2,FALSE)*AN27</f>
        <v>0</v>
      </c>
      <c r="AQ27" s="687">
        <f>VLOOKUP(AM27,Düngemittel!$B$6:$E$64,4,FALSE)*AN27</f>
        <v>0</v>
      </c>
      <c r="AS27" s="886"/>
      <c r="AT27" s="887" t="s">
        <v>805</v>
      </c>
      <c r="AU27" s="906">
        <v>0</v>
      </c>
      <c r="AV27" s="687">
        <f>VLOOKUP(AT27,Düngemittel!$B$6:$E$64,2,FALSE)*(VLOOKUP(AT27,Düngemittel!$B$6:$E$64,3,FALSE))/100*AU27</f>
        <v>0</v>
      </c>
      <c r="AW27" s="687">
        <f>VLOOKUP(AT27,Düngemittel!$B$6:$E$64,2,FALSE)*AU27</f>
        <v>0</v>
      </c>
      <c r="AX27" s="687">
        <f>VLOOKUP(AT27,Düngemittel!$B$6:$E$64,4,FALSE)*AU27</f>
        <v>0</v>
      </c>
      <c r="AZ27" s="886"/>
      <c r="BA27" s="887" t="s">
        <v>805</v>
      </c>
      <c r="BB27" s="906">
        <v>0</v>
      </c>
      <c r="BC27" s="687">
        <f>VLOOKUP(BA27,Düngemittel!$B$6:$E$64,2,FALSE)*(VLOOKUP(BA27,Düngemittel!$B$6:$E$64,3,FALSE))/100*BB27</f>
        <v>0</v>
      </c>
      <c r="BD27" s="687">
        <f>VLOOKUP(BA27,Düngemittel!$B$6:$E$64,2,FALSE)*BB27</f>
        <v>0</v>
      </c>
      <c r="BE27" s="687">
        <f>VLOOKUP(BA27,Düngemittel!$B$6:$E$64,4,FALSE)*BB27</f>
        <v>0</v>
      </c>
      <c r="BG27" s="853">
        <f t="shared" si="17"/>
        <v>0</v>
      </c>
      <c r="BH27" s="308">
        <f t="shared" si="18"/>
        <v>0</v>
      </c>
      <c r="BI27" s="853">
        <f t="shared" si="18"/>
        <v>0</v>
      </c>
      <c r="BJ27" s="777">
        <f t="shared" si="19"/>
        <v>0</v>
      </c>
      <c r="BK27" s="308">
        <f t="shared" si="20"/>
        <v>0</v>
      </c>
      <c r="BL27" s="83"/>
      <c r="BM27" s="686">
        <f t="shared" si="21"/>
        <v>0</v>
      </c>
      <c r="BN27" s="686">
        <f t="shared" si="22"/>
        <v>0</v>
      </c>
      <c r="BO27" s="686">
        <f t="shared" si="23"/>
        <v>0</v>
      </c>
      <c r="BP27" s="686">
        <f t="shared" si="24"/>
        <v>0</v>
      </c>
      <c r="BQ27" s="686">
        <f t="shared" si="25"/>
        <v>0</v>
      </c>
      <c r="BT27" s="351">
        <f t="shared" si="11"/>
        <v>0</v>
      </c>
      <c r="BU27" s="351">
        <f t="shared" si="12"/>
        <v>0</v>
      </c>
      <c r="BW27" s="643" t="s">
        <v>772</v>
      </c>
      <c r="BX27" s="643">
        <v>200</v>
      </c>
      <c r="BY27" s="643">
        <v>100</v>
      </c>
      <c r="BZ27" s="643">
        <v>0.2</v>
      </c>
      <c r="CA27" s="643">
        <v>0.3</v>
      </c>
      <c r="CB27" s="641">
        <v>60</v>
      </c>
      <c r="CC27" s="393">
        <v>0.24</v>
      </c>
      <c r="CD27" s="352">
        <f t="shared" si="0"/>
        <v>48</v>
      </c>
    </row>
    <row r="28" spans="1:84" ht="26.25" customHeight="1" x14ac:dyDescent="0.25">
      <c r="A28" s="342"/>
      <c r="B28" s="1215"/>
      <c r="C28" s="600" t="s">
        <v>31</v>
      </c>
      <c r="D28" s="908">
        <f t="shared" si="1"/>
        <v>0</v>
      </c>
      <c r="E28" s="427">
        <f t="shared" si="2"/>
        <v>0</v>
      </c>
      <c r="F28" s="1206"/>
      <c r="G28" s="413">
        <f t="shared" si="3"/>
        <v>0</v>
      </c>
      <c r="H28" s="602" t="s">
        <v>510</v>
      </c>
      <c r="I28" s="427">
        <f t="shared" si="4"/>
        <v>0</v>
      </c>
      <c r="J28" s="430" t="s">
        <v>31</v>
      </c>
      <c r="K28" s="606">
        <f t="shared" si="5"/>
        <v>0</v>
      </c>
      <c r="L28" s="408">
        <f t="shared" si="6"/>
        <v>0</v>
      </c>
      <c r="M28" s="1209"/>
      <c r="N28" s="450" t="s">
        <v>160</v>
      </c>
      <c r="O28" s="427">
        <f t="shared" si="7"/>
        <v>0</v>
      </c>
      <c r="P28" s="1212"/>
      <c r="Q28" s="747">
        <f t="shared" si="13"/>
        <v>0</v>
      </c>
      <c r="R28" s="608">
        <f t="shared" si="8"/>
        <v>0</v>
      </c>
      <c r="S28" s="479">
        <f t="shared" si="9"/>
        <v>0</v>
      </c>
      <c r="T28" s="435">
        <f t="shared" si="14"/>
        <v>0</v>
      </c>
      <c r="U28" s="122"/>
      <c r="V28" s="852">
        <f t="shared" si="15"/>
        <v>0</v>
      </c>
      <c r="W28" s="852" t="str">
        <f t="shared" si="16"/>
        <v>keine</v>
      </c>
      <c r="X28" s="886"/>
      <c r="Y28" s="887" t="s">
        <v>805</v>
      </c>
      <c r="Z28" s="906">
        <v>0</v>
      </c>
      <c r="AA28" s="687">
        <f>VLOOKUP(Y28,Düngemittel!$B$6:$E$64,2,FALSE)*(VLOOKUP(Y28,Düngemittel!$B$6:$E$64,3,FALSE))/100*Z28</f>
        <v>0</v>
      </c>
      <c r="AB28" s="687">
        <f>VLOOKUP(Y28,Düngemittel!$B$6:$E$64,2,FALSE)*Z28</f>
        <v>0</v>
      </c>
      <c r="AC28" s="687">
        <f>VLOOKUP(Y28,Düngemittel!$B$6:$E$64,4,FALSE)*Z28</f>
        <v>0</v>
      </c>
      <c r="AD28" s="122"/>
      <c r="AE28" s="886"/>
      <c r="AF28" s="887" t="s">
        <v>805</v>
      </c>
      <c r="AG28" s="906">
        <v>0</v>
      </c>
      <c r="AH28" s="687">
        <f>VLOOKUP(AF28,Düngemittel!$B$6:$E$64,2,FALSE)*(VLOOKUP(AF28,Düngemittel!$B$6:$E$64,3,FALSE))/100*AG28</f>
        <v>0</v>
      </c>
      <c r="AI28" s="687">
        <f>VLOOKUP(AF28,Düngemittel!$B$6:$E$64,2,FALSE)*AG28</f>
        <v>0</v>
      </c>
      <c r="AJ28" s="687">
        <f>VLOOKUP(AF28,Düngemittel!$B$6:$E$64,4,FALSE)*AG28</f>
        <v>0</v>
      </c>
      <c r="AK28" s="122"/>
      <c r="AL28" s="886"/>
      <c r="AM28" s="887" t="s">
        <v>805</v>
      </c>
      <c r="AN28" s="906">
        <v>0</v>
      </c>
      <c r="AO28" s="687">
        <f>VLOOKUP(AM28,Düngemittel!$B$6:$E$64,2,FALSE)*(VLOOKUP(AM28,Düngemittel!$B$6:$E$64,3,FALSE))/100*AN28</f>
        <v>0</v>
      </c>
      <c r="AP28" s="687">
        <f>VLOOKUP(AM28,Düngemittel!$B$6:$E$64,2,FALSE)*AN28</f>
        <v>0</v>
      </c>
      <c r="AQ28" s="687">
        <f>VLOOKUP(AM28,Düngemittel!$B$6:$E$64,4,FALSE)*AN28</f>
        <v>0</v>
      </c>
      <c r="AR28" s="122"/>
      <c r="AS28" s="886"/>
      <c r="AT28" s="887" t="s">
        <v>805</v>
      </c>
      <c r="AU28" s="906">
        <v>0</v>
      </c>
      <c r="AV28" s="687">
        <f>VLOOKUP(AT28,Düngemittel!$B$6:$E$64,2,FALSE)*(VLOOKUP(AT28,Düngemittel!$B$6:$E$64,3,FALSE))/100*AU28</f>
        <v>0</v>
      </c>
      <c r="AW28" s="687">
        <f>VLOOKUP(AT28,Düngemittel!$B$6:$E$64,2,FALSE)*AU28</f>
        <v>0</v>
      </c>
      <c r="AX28" s="687">
        <f>VLOOKUP(AT28,Düngemittel!$B$6:$E$64,4,FALSE)*AU28</f>
        <v>0</v>
      </c>
      <c r="AY28" s="122"/>
      <c r="AZ28" s="886"/>
      <c r="BA28" s="887" t="s">
        <v>805</v>
      </c>
      <c r="BB28" s="906">
        <v>0</v>
      </c>
      <c r="BC28" s="687">
        <f>VLOOKUP(BA28,Düngemittel!$B$6:$E$64,2,FALSE)*(VLOOKUP(BA28,Düngemittel!$B$6:$E$64,3,FALSE))/100*BB28</f>
        <v>0</v>
      </c>
      <c r="BD28" s="687">
        <f>VLOOKUP(BA28,Düngemittel!$B$6:$E$64,2,FALSE)*BB28</f>
        <v>0</v>
      </c>
      <c r="BE28" s="687">
        <f>VLOOKUP(BA28,Düngemittel!$B$6:$E$64,4,FALSE)*BB28</f>
        <v>0</v>
      </c>
      <c r="BF28" s="122"/>
      <c r="BG28" s="853">
        <f t="shared" si="17"/>
        <v>0</v>
      </c>
      <c r="BH28" s="308">
        <f t="shared" si="18"/>
        <v>0</v>
      </c>
      <c r="BI28" s="853">
        <f t="shared" si="18"/>
        <v>0</v>
      </c>
      <c r="BJ28" s="777">
        <f t="shared" si="19"/>
        <v>0</v>
      </c>
      <c r="BK28" s="308">
        <f t="shared" si="20"/>
        <v>0</v>
      </c>
      <c r="BL28" s="83"/>
      <c r="BM28" s="686">
        <f t="shared" si="21"/>
        <v>0</v>
      </c>
      <c r="BN28" s="686">
        <f t="shared" si="22"/>
        <v>0</v>
      </c>
      <c r="BO28" s="686">
        <f t="shared" si="23"/>
        <v>0</v>
      </c>
      <c r="BP28" s="686">
        <f t="shared" si="24"/>
        <v>0</v>
      </c>
      <c r="BQ28" s="686">
        <f t="shared" si="25"/>
        <v>0</v>
      </c>
      <c r="BS28" s="122"/>
      <c r="BT28" s="351">
        <f t="shared" si="11"/>
        <v>0</v>
      </c>
      <c r="BU28" s="351">
        <f t="shared" si="12"/>
        <v>0</v>
      </c>
      <c r="BW28" s="124" t="s">
        <v>702</v>
      </c>
      <c r="BX28" s="124">
        <v>20</v>
      </c>
      <c r="BY28" s="592">
        <v>100</v>
      </c>
      <c r="BZ28" s="591">
        <v>2</v>
      </c>
      <c r="CA28" s="591">
        <v>3</v>
      </c>
      <c r="CB28" s="641">
        <v>60</v>
      </c>
      <c r="CC28" s="393">
        <v>1.2</v>
      </c>
      <c r="CD28" s="352">
        <f t="shared" si="0"/>
        <v>24</v>
      </c>
    </row>
    <row r="29" spans="1:84" ht="20.25" customHeight="1" x14ac:dyDescent="0.25">
      <c r="A29" s="342"/>
      <c r="B29" s="1215"/>
      <c r="C29" s="600" t="s">
        <v>31</v>
      </c>
      <c r="D29" s="908">
        <f t="shared" si="1"/>
        <v>0</v>
      </c>
      <c r="E29" s="427">
        <f t="shared" si="2"/>
        <v>0</v>
      </c>
      <c r="F29" s="1206"/>
      <c r="G29" s="413">
        <f t="shared" si="3"/>
        <v>0</v>
      </c>
      <c r="H29" s="602" t="s">
        <v>510</v>
      </c>
      <c r="I29" s="427">
        <f t="shared" si="4"/>
        <v>0</v>
      </c>
      <c r="J29" s="430" t="s">
        <v>31</v>
      </c>
      <c r="K29" s="606">
        <f t="shared" si="5"/>
        <v>0</v>
      </c>
      <c r="L29" s="408">
        <f t="shared" si="6"/>
        <v>0</v>
      </c>
      <c r="M29" s="1209"/>
      <c r="N29" s="450" t="s">
        <v>160</v>
      </c>
      <c r="O29" s="427">
        <f t="shared" si="7"/>
        <v>0</v>
      </c>
      <c r="P29" s="1212"/>
      <c r="Q29" s="747">
        <f t="shared" si="13"/>
        <v>0</v>
      </c>
      <c r="R29" s="608">
        <f t="shared" si="8"/>
        <v>0</v>
      </c>
      <c r="S29" s="479">
        <f t="shared" si="9"/>
        <v>0</v>
      </c>
      <c r="T29" s="435">
        <f t="shared" si="14"/>
        <v>0</v>
      </c>
      <c r="V29" s="852">
        <f t="shared" si="15"/>
        <v>0</v>
      </c>
      <c r="W29" s="852" t="str">
        <f t="shared" si="16"/>
        <v>keine</v>
      </c>
      <c r="X29" s="886"/>
      <c r="Y29" s="887" t="s">
        <v>805</v>
      </c>
      <c r="Z29" s="906">
        <v>0</v>
      </c>
      <c r="AA29" s="687">
        <f>VLOOKUP(Y29,Düngemittel!$B$6:$E$64,2,FALSE)*(VLOOKUP(Y29,Düngemittel!$B$6:$E$64,3,FALSE))/100*Z29</f>
        <v>0</v>
      </c>
      <c r="AB29" s="687">
        <f>VLOOKUP(Y29,Düngemittel!$B$6:$E$64,2,FALSE)*Z29</f>
        <v>0</v>
      </c>
      <c r="AC29" s="687">
        <f>VLOOKUP(Y29,Düngemittel!$B$6:$E$64,4,FALSE)*Z29</f>
        <v>0</v>
      </c>
      <c r="AE29" s="886"/>
      <c r="AF29" s="887" t="s">
        <v>805</v>
      </c>
      <c r="AG29" s="906">
        <v>0</v>
      </c>
      <c r="AH29" s="687">
        <f>VLOOKUP(AF29,Düngemittel!$B$6:$E$64,2,FALSE)*(VLOOKUP(AF29,Düngemittel!$B$6:$E$64,3,FALSE))/100*AG29</f>
        <v>0</v>
      </c>
      <c r="AI29" s="687">
        <f>VLOOKUP(AF29,Düngemittel!$B$6:$E$64,2,FALSE)*AG29</f>
        <v>0</v>
      </c>
      <c r="AJ29" s="687">
        <f>VLOOKUP(AF29,Düngemittel!$B$6:$E$64,4,FALSE)*AG29</f>
        <v>0</v>
      </c>
      <c r="AL29" s="886"/>
      <c r="AM29" s="887" t="s">
        <v>805</v>
      </c>
      <c r="AN29" s="906">
        <v>0</v>
      </c>
      <c r="AO29" s="687">
        <f>VLOOKUP(AM29,Düngemittel!$B$6:$E$64,2,FALSE)*(VLOOKUP(AM29,Düngemittel!$B$6:$E$64,3,FALSE))/100*AN29</f>
        <v>0</v>
      </c>
      <c r="AP29" s="687">
        <f>VLOOKUP(AM29,Düngemittel!$B$6:$E$64,2,FALSE)*AN29</f>
        <v>0</v>
      </c>
      <c r="AQ29" s="687">
        <f>VLOOKUP(AM29,Düngemittel!$B$6:$E$64,4,FALSE)*AN29</f>
        <v>0</v>
      </c>
      <c r="AS29" s="886"/>
      <c r="AT29" s="887" t="s">
        <v>805</v>
      </c>
      <c r="AU29" s="906">
        <v>0</v>
      </c>
      <c r="AV29" s="687">
        <f>VLOOKUP(AT29,Düngemittel!$B$6:$E$64,2,FALSE)*(VLOOKUP(AT29,Düngemittel!$B$6:$E$64,3,FALSE))/100*AU29</f>
        <v>0</v>
      </c>
      <c r="AW29" s="687">
        <f>VLOOKUP(AT29,Düngemittel!$B$6:$E$64,2,FALSE)*AU29</f>
        <v>0</v>
      </c>
      <c r="AX29" s="687">
        <f>VLOOKUP(AT29,Düngemittel!$B$6:$E$64,4,FALSE)*AU29</f>
        <v>0</v>
      </c>
      <c r="AZ29" s="886"/>
      <c r="BA29" s="887" t="s">
        <v>805</v>
      </c>
      <c r="BB29" s="906">
        <v>0</v>
      </c>
      <c r="BC29" s="687">
        <f>VLOOKUP(BA29,Düngemittel!$B$6:$E$64,2,FALSE)*(VLOOKUP(BA29,Düngemittel!$B$6:$E$64,3,FALSE))/100*BB29</f>
        <v>0</v>
      </c>
      <c r="BD29" s="687">
        <f>VLOOKUP(BA29,Düngemittel!$B$6:$E$64,2,FALSE)*BB29</f>
        <v>0</v>
      </c>
      <c r="BE29" s="687">
        <f>VLOOKUP(BA29,Düngemittel!$B$6:$E$64,4,FALSE)*BB29</f>
        <v>0</v>
      </c>
      <c r="BG29" s="853">
        <f t="shared" si="17"/>
        <v>0</v>
      </c>
      <c r="BH29" s="308">
        <f t="shared" si="18"/>
        <v>0</v>
      </c>
      <c r="BI29" s="853">
        <f t="shared" si="18"/>
        <v>0</v>
      </c>
      <c r="BJ29" s="777">
        <f t="shared" si="19"/>
        <v>0</v>
      </c>
      <c r="BK29" s="308">
        <f t="shared" si="20"/>
        <v>0</v>
      </c>
      <c r="BL29" s="83"/>
      <c r="BM29" s="686">
        <f t="shared" si="21"/>
        <v>0</v>
      </c>
      <c r="BN29" s="686">
        <f t="shared" si="22"/>
        <v>0</v>
      </c>
      <c r="BO29" s="686">
        <f t="shared" si="23"/>
        <v>0</v>
      </c>
      <c r="BP29" s="686">
        <f t="shared" si="24"/>
        <v>0</v>
      </c>
      <c r="BQ29" s="686">
        <f t="shared" si="25"/>
        <v>0</v>
      </c>
      <c r="BT29" s="351">
        <f t="shared" si="11"/>
        <v>0</v>
      </c>
      <c r="BU29" s="351">
        <f t="shared" si="12"/>
        <v>0</v>
      </c>
      <c r="BV29" s="112"/>
      <c r="BW29" s="240" t="s">
        <v>697</v>
      </c>
      <c r="BX29" s="240">
        <v>25</v>
      </c>
      <c r="BY29" s="594">
        <v>160</v>
      </c>
      <c r="BZ29" s="591">
        <v>2</v>
      </c>
      <c r="CA29" s="591">
        <v>3</v>
      </c>
      <c r="CB29" s="641">
        <v>60</v>
      </c>
      <c r="CC29" s="393">
        <v>1.77</v>
      </c>
      <c r="CD29" s="352">
        <f t="shared" si="0"/>
        <v>44.25</v>
      </c>
    </row>
    <row r="30" spans="1:84" ht="21" customHeight="1" x14ac:dyDescent="0.25">
      <c r="A30" s="342"/>
      <c r="B30" s="1215"/>
      <c r="C30" s="600" t="s">
        <v>31</v>
      </c>
      <c r="D30" s="908">
        <f t="shared" si="1"/>
        <v>0</v>
      </c>
      <c r="E30" s="427">
        <f t="shared" si="2"/>
        <v>0</v>
      </c>
      <c r="F30" s="1206"/>
      <c r="G30" s="413">
        <f t="shared" si="3"/>
        <v>0</v>
      </c>
      <c r="H30" s="602" t="s">
        <v>510</v>
      </c>
      <c r="I30" s="427">
        <f t="shared" si="4"/>
        <v>0</v>
      </c>
      <c r="J30" s="430" t="s">
        <v>31</v>
      </c>
      <c r="K30" s="606">
        <f t="shared" si="5"/>
        <v>0</v>
      </c>
      <c r="L30" s="408">
        <f t="shared" si="6"/>
        <v>0</v>
      </c>
      <c r="M30" s="1209"/>
      <c r="N30" s="450" t="s">
        <v>160</v>
      </c>
      <c r="O30" s="427">
        <f t="shared" si="7"/>
        <v>0</v>
      </c>
      <c r="P30" s="1212"/>
      <c r="Q30" s="747">
        <f t="shared" si="13"/>
        <v>0</v>
      </c>
      <c r="R30" s="608">
        <f t="shared" si="8"/>
        <v>0</v>
      </c>
      <c r="S30" s="479">
        <f t="shared" si="9"/>
        <v>0</v>
      </c>
      <c r="T30" s="435">
        <f t="shared" si="14"/>
        <v>0</v>
      </c>
      <c r="V30" s="852">
        <f t="shared" si="15"/>
        <v>0</v>
      </c>
      <c r="W30" s="852" t="str">
        <f t="shared" si="16"/>
        <v>keine</v>
      </c>
      <c r="X30" s="886"/>
      <c r="Y30" s="887" t="s">
        <v>805</v>
      </c>
      <c r="Z30" s="906">
        <v>0</v>
      </c>
      <c r="AA30" s="687">
        <f>VLOOKUP(Y30,Düngemittel!$B$6:$E$64,2,FALSE)*(VLOOKUP(Y30,Düngemittel!$B$6:$E$64,3,FALSE))/100*Z30</f>
        <v>0</v>
      </c>
      <c r="AB30" s="687">
        <f>VLOOKUP(Y30,Düngemittel!$B$6:$E$64,2,FALSE)*Z30</f>
        <v>0</v>
      </c>
      <c r="AC30" s="687">
        <f>VLOOKUP(Y30,Düngemittel!$B$6:$E$64,4,FALSE)*Z30</f>
        <v>0</v>
      </c>
      <c r="AE30" s="886"/>
      <c r="AF30" s="887" t="s">
        <v>805</v>
      </c>
      <c r="AG30" s="906">
        <v>0</v>
      </c>
      <c r="AH30" s="687">
        <f>VLOOKUP(AF30,Düngemittel!$B$6:$E$64,2,FALSE)*(VLOOKUP(AF30,Düngemittel!$B$6:$E$64,3,FALSE))/100*AG30</f>
        <v>0</v>
      </c>
      <c r="AI30" s="687">
        <f>VLOOKUP(AF30,Düngemittel!$B$6:$E$64,2,FALSE)*AG30</f>
        <v>0</v>
      </c>
      <c r="AJ30" s="687">
        <f>VLOOKUP(AF30,Düngemittel!$B$6:$E$64,4,FALSE)*AG30</f>
        <v>0</v>
      </c>
      <c r="AL30" s="886"/>
      <c r="AM30" s="887" t="s">
        <v>805</v>
      </c>
      <c r="AN30" s="906">
        <v>0</v>
      </c>
      <c r="AO30" s="687">
        <f>VLOOKUP(AM30,Düngemittel!$B$6:$E$64,2,FALSE)*(VLOOKUP(AM30,Düngemittel!$B$6:$E$64,3,FALSE))/100*AN30</f>
        <v>0</v>
      </c>
      <c r="AP30" s="687">
        <f>VLOOKUP(AM30,Düngemittel!$B$6:$E$64,2,FALSE)*AN30</f>
        <v>0</v>
      </c>
      <c r="AQ30" s="687">
        <f>VLOOKUP(AM30,Düngemittel!$B$6:$E$64,4,FALSE)*AN30</f>
        <v>0</v>
      </c>
      <c r="AS30" s="886"/>
      <c r="AT30" s="887" t="s">
        <v>805</v>
      </c>
      <c r="AU30" s="906">
        <v>0</v>
      </c>
      <c r="AV30" s="687">
        <f>VLOOKUP(AT30,Düngemittel!$B$6:$E$64,2,FALSE)*(VLOOKUP(AT30,Düngemittel!$B$6:$E$64,3,FALSE))/100*AU30</f>
        <v>0</v>
      </c>
      <c r="AW30" s="687">
        <f>VLOOKUP(AT30,Düngemittel!$B$6:$E$64,2,FALSE)*AU30</f>
        <v>0</v>
      </c>
      <c r="AX30" s="687">
        <f>VLOOKUP(AT30,Düngemittel!$B$6:$E$64,4,FALSE)*AU30</f>
        <v>0</v>
      </c>
      <c r="AZ30" s="886"/>
      <c r="BA30" s="887" t="s">
        <v>805</v>
      </c>
      <c r="BB30" s="906">
        <v>0</v>
      </c>
      <c r="BC30" s="687">
        <f>VLOOKUP(BA30,Düngemittel!$B$6:$E$64,2,FALSE)*(VLOOKUP(BA30,Düngemittel!$B$6:$E$64,3,FALSE))/100*BB30</f>
        <v>0</v>
      </c>
      <c r="BD30" s="687">
        <f>VLOOKUP(BA30,Düngemittel!$B$6:$E$64,2,FALSE)*BB30</f>
        <v>0</v>
      </c>
      <c r="BE30" s="687">
        <f>VLOOKUP(BA30,Düngemittel!$B$6:$E$64,4,FALSE)*BB30</f>
        <v>0</v>
      </c>
      <c r="BG30" s="853">
        <f t="shared" si="17"/>
        <v>0</v>
      </c>
      <c r="BH30" s="308">
        <f t="shared" si="18"/>
        <v>0</v>
      </c>
      <c r="BI30" s="853">
        <f t="shared" si="18"/>
        <v>0</v>
      </c>
      <c r="BJ30" s="777">
        <f t="shared" si="19"/>
        <v>0</v>
      </c>
      <c r="BK30" s="308">
        <f t="shared" si="20"/>
        <v>0</v>
      </c>
      <c r="BL30" s="83"/>
      <c r="BM30" s="686">
        <f t="shared" si="21"/>
        <v>0</v>
      </c>
      <c r="BN30" s="686">
        <f t="shared" si="22"/>
        <v>0</v>
      </c>
      <c r="BO30" s="686">
        <f t="shared" si="23"/>
        <v>0</v>
      </c>
      <c r="BP30" s="686">
        <f t="shared" si="24"/>
        <v>0</v>
      </c>
      <c r="BQ30" s="686">
        <f t="shared" si="25"/>
        <v>0</v>
      </c>
      <c r="BT30" s="351">
        <f t="shared" si="11"/>
        <v>0</v>
      </c>
      <c r="BU30" s="351">
        <f t="shared" si="12"/>
        <v>0</v>
      </c>
      <c r="BV30" s="112"/>
      <c r="BW30" s="580" t="s">
        <v>770</v>
      </c>
      <c r="BX30" s="580">
        <v>500</v>
      </c>
      <c r="BY30" s="591">
        <v>140</v>
      </c>
      <c r="BZ30" s="642">
        <v>0.2</v>
      </c>
      <c r="CA30" s="642">
        <v>0.3</v>
      </c>
      <c r="CB30" s="641">
        <v>60</v>
      </c>
      <c r="CC30" s="393">
        <v>0.14000000000000001</v>
      </c>
      <c r="CD30" s="352">
        <f t="shared" si="0"/>
        <v>70</v>
      </c>
    </row>
    <row r="31" spans="1:84" ht="25.5" customHeight="1" thickBot="1" x14ac:dyDescent="0.3">
      <c r="A31" s="381"/>
      <c r="B31" s="1216"/>
      <c r="C31" s="910" t="s">
        <v>31</v>
      </c>
      <c r="D31" s="909">
        <f>VLOOKUP(C31,BW$3:CA$58,2,FALSE)</f>
        <v>0</v>
      </c>
      <c r="E31" s="601">
        <f t="shared" si="2"/>
        <v>0</v>
      </c>
      <c r="F31" s="1207"/>
      <c r="G31" s="414">
        <f t="shared" si="3"/>
        <v>0</v>
      </c>
      <c r="H31" s="603" t="s">
        <v>510</v>
      </c>
      <c r="I31" s="428">
        <f t="shared" si="4"/>
        <v>0</v>
      </c>
      <c r="J31" s="431" t="s">
        <v>31</v>
      </c>
      <c r="K31" s="607">
        <f t="shared" si="5"/>
        <v>0</v>
      </c>
      <c r="L31" s="410">
        <f t="shared" si="6"/>
        <v>0</v>
      </c>
      <c r="M31" s="1210"/>
      <c r="N31" s="454" t="s">
        <v>160</v>
      </c>
      <c r="O31" s="428">
        <f t="shared" si="7"/>
        <v>0</v>
      </c>
      <c r="P31" s="1213"/>
      <c r="Q31" s="482">
        <f t="shared" si="13"/>
        <v>0</v>
      </c>
      <c r="R31" s="609">
        <f t="shared" si="8"/>
        <v>0</v>
      </c>
      <c r="S31" s="480">
        <f>F31*VLOOKUP(C31,BW$3:CC$58,7,FALSE)</f>
        <v>0</v>
      </c>
      <c r="T31" s="481">
        <f t="shared" si="14"/>
        <v>0</v>
      </c>
      <c r="V31" s="852">
        <f t="shared" si="15"/>
        <v>0</v>
      </c>
      <c r="W31" s="852" t="str">
        <f t="shared" si="16"/>
        <v>keine</v>
      </c>
      <c r="X31" s="886"/>
      <c r="Y31" s="887" t="s">
        <v>805</v>
      </c>
      <c r="Z31" s="906">
        <v>0</v>
      </c>
      <c r="AA31" s="687">
        <f>VLOOKUP(Y31,Düngemittel!$B$6:$E$64,2,FALSE)*(VLOOKUP(Y31,Düngemittel!$B$6:$E$64,3,FALSE))/100*Z31</f>
        <v>0</v>
      </c>
      <c r="AB31" s="687">
        <f>VLOOKUP(Y31,Düngemittel!$B$6:$E$64,2,FALSE)*Z31</f>
        <v>0</v>
      </c>
      <c r="AC31" s="687">
        <f>VLOOKUP(Y31,Düngemittel!$B$6:$E$64,4,FALSE)*Z31</f>
        <v>0</v>
      </c>
      <c r="AE31" s="886"/>
      <c r="AF31" s="887" t="s">
        <v>805</v>
      </c>
      <c r="AG31" s="906">
        <v>0</v>
      </c>
      <c r="AH31" s="687">
        <f>VLOOKUP(AF31,Düngemittel!$B$6:$E$64,2,FALSE)*(VLOOKUP(AF31,Düngemittel!$B$6:$E$64,3,FALSE))/100*AG31</f>
        <v>0</v>
      </c>
      <c r="AI31" s="687">
        <f>VLOOKUP(AF31,Düngemittel!$B$6:$E$64,2,FALSE)*AG31</f>
        <v>0</v>
      </c>
      <c r="AJ31" s="687">
        <f>VLOOKUP(AF31,Düngemittel!$B$6:$E$64,4,FALSE)*AG31</f>
        <v>0</v>
      </c>
      <c r="AL31" s="886"/>
      <c r="AM31" s="887" t="s">
        <v>805</v>
      </c>
      <c r="AN31" s="906">
        <v>0</v>
      </c>
      <c r="AO31" s="687">
        <f>VLOOKUP(AM31,Düngemittel!$B$6:$E$64,2,FALSE)*(VLOOKUP(AM31,Düngemittel!$B$6:$E$64,3,FALSE))/100*AN31</f>
        <v>0</v>
      </c>
      <c r="AP31" s="687">
        <f>VLOOKUP(AM31,Düngemittel!$B$6:$E$64,2,FALSE)*AN31</f>
        <v>0</v>
      </c>
      <c r="AQ31" s="687">
        <f>VLOOKUP(AM31,Düngemittel!$B$6:$E$64,4,FALSE)*AN31</f>
        <v>0</v>
      </c>
      <c r="AS31" s="886"/>
      <c r="AT31" s="887" t="s">
        <v>805</v>
      </c>
      <c r="AU31" s="906">
        <v>0</v>
      </c>
      <c r="AV31" s="687">
        <f>VLOOKUP(AT31,Düngemittel!$B$6:$E$64,2,FALSE)*(VLOOKUP(AT31,Düngemittel!$B$6:$E$64,3,FALSE))/100*AU31</f>
        <v>0</v>
      </c>
      <c r="AW31" s="687">
        <f>VLOOKUP(AT31,Düngemittel!$B$6:$E$64,2,FALSE)*AU31</f>
        <v>0</v>
      </c>
      <c r="AX31" s="687">
        <f>VLOOKUP(AT31,Düngemittel!$B$6:$E$64,4,FALSE)*AU31</f>
        <v>0</v>
      </c>
      <c r="AZ31" s="886"/>
      <c r="BA31" s="887" t="s">
        <v>805</v>
      </c>
      <c r="BB31" s="906">
        <v>0</v>
      </c>
      <c r="BC31" s="687">
        <f>VLOOKUP(BA31,Düngemittel!$B$6:$E$64,2,FALSE)*(VLOOKUP(BA31,Düngemittel!$B$6:$E$64,3,FALSE))/100*BB31</f>
        <v>0</v>
      </c>
      <c r="BD31" s="687">
        <f>VLOOKUP(BA31,Düngemittel!$B$6:$E$64,2,FALSE)*BB31</f>
        <v>0</v>
      </c>
      <c r="BE31" s="687">
        <f>VLOOKUP(BA31,Düngemittel!$B$6:$E$64,4,FALSE)*BB31</f>
        <v>0</v>
      </c>
      <c r="BG31" s="853">
        <f t="shared" si="17"/>
        <v>0</v>
      </c>
      <c r="BH31" s="308">
        <f t="shared" si="18"/>
        <v>0</v>
      </c>
      <c r="BI31" s="853">
        <f t="shared" si="18"/>
        <v>0</v>
      </c>
      <c r="BJ31" s="777">
        <f t="shared" si="19"/>
        <v>0</v>
      </c>
      <c r="BK31" s="308">
        <f t="shared" si="20"/>
        <v>0</v>
      </c>
      <c r="BL31" s="83"/>
      <c r="BM31" s="686">
        <f t="shared" si="21"/>
        <v>0</v>
      </c>
      <c r="BN31" s="686">
        <f t="shared" si="22"/>
        <v>0</v>
      </c>
      <c r="BO31" s="686">
        <f t="shared" si="23"/>
        <v>0</v>
      </c>
      <c r="BP31" s="686">
        <f t="shared" si="24"/>
        <v>0</v>
      </c>
      <c r="BQ31" s="686">
        <f t="shared" si="25"/>
        <v>0</v>
      </c>
      <c r="BT31" s="351">
        <f t="shared" si="11"/>
        <v>0</v>
      </c>
      <c r="BU31" s="351">
        <f t="shared" si="12"/>
        <v>0</v>
      </c>
      <c r="BW31" s="124" t="s">
        <v>696</v>
      </c>
      <c r="BX31" s="124">
        <v>450</v>
      </c>
      <c r="BY31" s="592">
        <v>200</v>
      </c>
      <c r="BZ31" s="593">
        <v>0.2</v>
      </c>
      <c r="CA31" s="593">
        <v>0.3</v>
      </c>
      <c r="CB31" s="641">
        <v>90</v>
      </c>
      <c r="CC31" s="393">
        <v>0.16</v>
      </c>
      <c r="CD31" s="352">
        <f t="shared" si="0"/>
        <v>72</v>
      </c>
    </row>
    <row r="32" spans="1:84" ht="25.5" customHeight="1" thickBot="1" x14ac:dyDescent="0.3">
      <c r="A32" s="382" t="s">
        <v>292</v>
      </c>
      <c r="B32" s="808">
        <f>SUM(B8:B31)</f>
        <v>60</v>
      </c>
      <c r="C32" s="809" t="s">
        <v>1077</v>
      </c>
      <c r="D32" s="371"/>
      <c r="E32" s="371"/>
      <c r="F32" s="371"/>
      <c r="G32" s="371"/>
      <c r="H32" s="375"/>
      <c r="I32" s="375"/>
      <c r="J32" s="375"/>
      <c r="K32" s="375"/>
      <c r="L32" s="371"/>
      <c r="M32" s="371"/>
      <c r="N32" s="375"/>
      <c r="O32" s="375"/>
      <c r="P32" s="375"/>
      <c r="Q32" s="385" t="s">
        <v>543</v>
      </c>
      <c r="R32" s="395">
        <f>SUM(R8:R31)</f>
        <v>8531</v>
      </c>
      <c r="S32" s="502"/>
      <c r="T32" s="478">
        <f>SUM(T8:T31)</f>
        <v>3400</v>
      </c>
      <c r="BF32" s="183"/>
      <c r="BG32" s="183"/>
      <c r="BH32" s="475"/>
      <c r="BM32" s="851">
        <f>SUM(BM8:BM31)</f>
        <v>5438</v>
      </c>
      <c r="BN32" s="851">
        <f>SUM(BN8:BN31)</f>
        <v>7382</v>
      </c>
      <c r="BO32" s="851">
        <f t="shared" ref="BO32:BQ32" si="26">SUM(BO8:BO31)</f>
        <v>8678</v>
      </c>
      <c r="BP32" s="778">
        <f t="shared" si="26"/>
        <v>3240</v>
      </c>
      <c r="BQ32" s="851">
        <f t="shared" si="26"/>
        <v>1810</v>
      </c>
      <c r="BR32" s="782" t="s">
        <v>1097</v>
      </c>
      <c r="BS32" s="475"/>
      <c r="BW32" s="124" t="s">
        <v>41</v>
      </c>
      <c r="BX32" s="124">
        <v>50</v>
      </c>
      <c r="BY32" s="124">
        <v>140</v>
      </c>
      <c r="BZ32" s="124">
        <v>1</v>
      </c>
      <c r="CA32" s="124">
        <v>1.5</v>
      </c>
      <c r="CB32" s="641">
        <v>60</v>
      </c>
      <c r="CC32" s="393">
        <v>0.8</v>
      </c>
      <c r="CD32" s="352">
        <f t="shared" si="0"/>
        <v>40</v>
      </c>
    </row>
    <row r="33" spans="1:82" ht="24.75" customHeight="1" x14ac:dyDescent="0.25">
      <c r="A33" s="118"/>
      <c r="B33" s="112"/>
      <c r="D33" s="80"/>
      <c r="E33" s="112"/>
      <c r="J33" s="151"/>
      <c r="Q33" s="21"/>
      <c r="R33" s="1310" t="s">
        <v>1118</v>
      </c>
      <c r="T33" s="1310" t="s">
        <v>1119</v>
      </c>
      <c r="BG33" s="462">
        <f t="shared" ref="BG33:BJ33" si="27">BM33</f>
        <v>90.63333333333334</v>
      </c>
      <c r="BH33" s="462">
        <f t="shared" si="27"/>
        <v>123.03333333333333</v>
      </c>
      <c r="BI33" s="462">
        <f t="shared" si="27"/>
        <v>144.63333333333333</v>
      </c>
      <c r="BJ33" s="777">
        <f t="shared" si="27"/>
        <v>54</v>
      </c>
      <c r="BK33" s="308">
        <f>BQ33</f>
        <v>30.166666666666668</v>
      </c>
      <c r="BM33" s="779">
        <f>BM32/$B32</f>
        <v>90.63333333333334</v>
      </c>
      <c r="BN33" s="308">
        <f>BN32/$B32</f>
        <v>123.03333333333333</v>
      </c>
      <c r="BO33" s="779">
        <f>BO32/$B32</f>
        <v>144.63333333333333</v>
      </c>
      <c r="BP33" s="777">
        <f>BP32/$B32</f>
        <v>54</v>
      </c>
      <c r="BQ33" s="308">
        <f>BQ32/$B32</f>
        <v>30.166666666666668</v>
      </c>
      <c r="BR33" s="782" t="s">
        <v>1076</v>
      </c>
      <c r="BW33" s="580" t="s">
        <v>708</v>
      </c>
      <c r="BX33" s="580">
        <v>350</v>
      </c>
      <c r="BY33" s="580">
        <v>180</v>
      </c>
      <c r="BZ33" s="580">
        <v>0.2</v>
      </c>
      <c r="CA33" s="580">
        <v>0.3</v>
      </c>
      <c r="CB33" s="641">
        <v>60</v>
      </c>
      <c r="CC33" s="393">
        <v>0.23</v>
      </c>
      <c r="CD33" s="352">
        <f t="shared" si="0"/>
        <v>80.5</v>
      </c>
    </row>
    <row r="34" spans="1:82" ht="56.25" customHeight="1" thickBot="1" x14ac:dyDescent="0.3">
      <c r="A34" s="80"/>
      <c r="B34" s="770"/>
      <c r="D34" s="80"/>
      <c r="E34" s="112"/>
      <c r="J34" s="151"/>
      <c r="P34" s="357"/>
      <c r="Q34" s="804"/>
      <c r="R34" s="1311"/>
      <c r="S34" s="476"/>
      <c r="T34" s="1311"/>
      <c r="U34" s="611"/>
      <c r="V34" s="611"/>
      <c r="W34" s="611"/>
      <c r="X34" s="611"/>
      <c r="Y34" s="611"/>
      <c r="Z34" s="611"/>
      <c r="AA34" s="611"/>
      <c r="AB34" s="611"/>
      <c r="AC34" s="611"/>
      <c r="AD34" s="611"/>
      <c r="AE34" s="611"/>
      <c r="AF34" s="611"/>
      <c r="AG34" s="611"/>
      <c r="AH34" s="611"/>
      <c r="AI34" s="611"/>
      <c r="AJ34" s="611"/>
      <c r="AK34" s="611"/>
      <c r="AL34" s="611"/>
      <c r="AM34" s="611"/>
      <c r="AN34" s="611"/>
      <c r="AO34" s="611"/>
      <c r="AP34" s="611"/>
      <c r="AQ34" s="611"/>
      <c r="AR34" s="611"/>
      <c r="AS34" s="611"/>
      <c r="AT34" s="611"/>
      <c r="AU34" s="611"/>
      <c r="AV34" s="611"/>
      <c r="AW34" s="611"/>
      <c r="AX34" s="611"/>
      <c r="AY34" s="611"/>
      <c r="AZ34" s="611"/>
      <c r="BA34" s="611"/>
      <c r="BB34" s="611"/>
      <c r="BC34" s="611"/>
      <c r="BD34" s="611"/>
      <c r="BE34" s="611"/>
      <c r="BF34" s="611"/>
      <c r="BG34" s="775" t="s">
        <v>1096</v>
      </c>
      <c r="BH34" s="312" t="s">
        <v>1082</v>
      </c>
      <c r="BI34" s="312" t="s">
        <v>1083</v>
      </c>
      <c r="BJ34" s="699" t="s">
        <v>1268</v>
      </c>
      <c r="BK34" s="312" t="s">
        <v>290</v>
      </c>
      <c r="BL34" s="611"/>
      <c r="BM34" s="780" t="s">
        <v>1096</v>
      </c>
      <c r="BN34" s="312" t="s">
        <v>1082</v>
      </c>
      <c r="BO34" s="781" t="s">
        <v>1098</v>
      </c>
      <c r="BP34" s="699" t="s">
        <v>1268</v>
      </c>
      <c r="BQ34" s="312" t="s">
        <v>290</v>
      </c>
      <c r="BR34" s="122"/>
      <c r="BS34" s="611"/>
      <c r="BT34" s="122"/>
      <c r="BU34" s="122"/>
      <c r="BW34" s="598" t="s">
        <v>727</v>
      </c>
      <c r="BX34" s="598">
        <v>350</v>
      </c>
      <c r="BY34" s="598">
        <v>140</v>
      </c>
      <c r="BZ34" s="598">
        <v>0.15</v>
      </c>
      <c r="CA34" s="598">
        <v>0.23</v>
      </c>
      <c r="CB34" s="641">
        <v>60</v>
      </c>
      <c r="CC34" s="393">
        <v>0.23</v>
      </c>
      <c r="CD34" s="352">
        <f t="shared" si="0"/>
        <v>80.5</v>
      </c>
    </row>
    <row r="35" spans="1:82" ht="25.5" customHeight="1" x14ac:dyDescent="0.25">
      <c r="B35" s="112"/>
      <c r="D35" s="80"/>
      <c r="E35" s="112"/>
      <c r="J35" s="151"/>
      <c r="U35" s="611"/>
      <c r="V35" s="611"/>
      <c r="W35" s="611"/>
      <c r="X35" s="611"/>
      <c r="Y35" s="611"/>
      <c r="Z35" s="122"/>
      <c r="AA35" s="122"/>
      <c r="AB35" s="122"/>
      <c r="AC35" s="122"/>
      <c r="AD35" s="122"/>
      <c r="AE35" s="122"/>
      <c r="AF35" s="122"/>
      <c r="AG35" s="122"/>
      <c r="AH35" s="122"/>
      <c r="AI35" s="122"/>
      <c r="AJ35" s="122"/>
      <c r="AK35" s="122"/>
      <c r="AL35" s="122"/>
      <c r="AM35" s="122"/>
      <c r="AN35" s="122"/>
      <c r="AO35" s="122"/>
      <c r="AP35" s="122"/>
      <c r="AQ35" s="122"/>
      <c r="AR35" s="122"/>
      <c r="AS35" s="122"/>
      <c r="AT35" s="122"/>
      <c r="AU35" s="122"/>
      <c r="AV35" s="122"/>
      <c r="AW35" s="122"/>
      <c r="AX35" s="122"/>
      <c r="AY35" s="122"/>
      <c r="AZ35" s="122"/>
      <c r="BA35" s="122"/>
      <c r="BB35" s="122"/>
      <c r="BC35" s="122"/>
      <c r="BD35" s="122"/>
      <c r="BE35" s="122"/>
      <c r="BF35" s="122"/>
      <c r="BG35" s="122"/>
      <c r="BH35" s="122"/>
      <c r="BI35" s="122"/>
      <c r="BJ35" s="122"/>
      <c r="BK35" s="122"/>
      <c r="BL35" s="122"/>
      <c r="BM35" s="122"/>
      <c r="BN35" s="122"/>
      <c r="BO35" s="122"/>
      <c r="BP35" s="122"/>
      <c r="BQ35" s="122"/>
      <c r="BR35" s="122"/>
      <c r="BS35" s="122"/>
      <c r="BT35" s="122"/>
      <c r="BU35" s="122"/>
      <c r="BW35" s="598" t="s">
        <v>740</v>
      </c>
      <c r="BX35" s="598">
        <v>350</v>
      </c>
      <c r="BY35" s="598">
        <v>100</v>
      </c>
      <c r="BZ35" s="598">
        <v>0.1</v>
      </c>
      <c r="CA35" s="598">
        <v>0.15</v>
      </c>
      <c r="CB35" s="641">
        <v>60</v>
      </c>
      <c r="CC35" s="393">
        <v>0.23</v>
      </c>
      <c r="CD35" s="352">
        <f t="shared" si="0"/>
        <v>80.5</v>
      </c>
    </row>
    <row r="36" spans="1:82" ht="21" customHeight="1" x14ac:dyDescent="0.25">
      <c r="A36" s="1320" t="s">
        <v>1084</v>
      </c>
      <c r="B36" s="1321"/>
      <c r="C36" s="1328" t="s">
        <v>1085</v>
      </c>
      <c r="D36" s="1329"/>
      <c r="E36" s="1329"/>
      <c r="F36" s="1329"/>
      <c r="G36" s="1329"/>
      <c r="H36" s="1329"/>
      <c r="I36" s="1329"/>
      <c r="J36" s="1329"/>
      <c r="K36" s="1329"/>
      <c r="L36" s="1329"/>
      <c r="M36" s="1329"/>
      <c r="N36" s="1329"/>
      <c r="O36" s="1330"/>
      <c r="P36" s="1330"/>
      <c r="Q36" s="1330"/>
      <c r="R36" s="1330"/>
      <c r="S36" s="1331"/>
      <c r="T36" s="1332"/>
      <c r="U36" s="611"/>
      <c r="V36" s="611"/>
      <c r="W36" s="611"/>
      <c r="X36" s="611"/>
      <c r="Y36" s="611"/>
      <c r="Z36" s="122"/>
      <c r="AA36" s="122"/>
      <c r="AB36" s="122"/>
      <c r="AC36" s="122"/>
      <c r="AD36" s="122"/>
      <c r="AE36" s="122"/>
      <c r="AF36" s="122"/>
      <c r="AG36" s="122"/>
      <c r="AH36" s="122"/>
      <c r="AI36" s="122"/>
      <c r="AJ36" s="122"/>
      <c r="AK36" s="122"/>
      <c r="AL36" s="122"/>
      <c r="AM36" s="122"/>
      <c r="AN36" s="122"/>
      <c r="AO36" s="122"/>
      <c r="AP36" s="122"/>
      <c r="AQ36" s="122"/>
      <c r="AR36" s="122"/>
      <c r="AS36" s="122"/>
      <c r="AT36" s="122"/>
      <c r="AU36" s="122"/>
      <c r="AV36" s="122"/>
      <c r="AW36" s="122"/>
      <c r="AX36" s="122"/>
      <c r="AY36" s="122"/>
      <c r="AZ36" s="122"/>
      <c r="BA36" s="122"/>
      <c r="BB36" s="122"/>
      <c r="BC36" s="122"/>
      <c r="BD36" s="122"/>
      <c r="BE36" s="122"/>
      <c r="BF36" s="122"/>
      <c r="BG36" s="122"/>
      <c r="BH36" s="122"/>
      <c r="BI36" s="122"/>
      <c r="BJ36" s="122"/>
      <c r="BK36" s="122"/>
      <c r="BL36" s="122"/>
      <c r="BM36" s="122"/>
      <c r="BN36" s="122"/>
      <c r="BO36" s="122"/>
      <c r="BP36" s="122"/>
      <c r="BQ36" s="122"/>
      <c r="BR36" s="122"/>
      <c r="BS36" s="122"/>
      <c r="BT36" s="122"/>
      <c r="BU36" s="122"/>
      <c r="BW36" s="240" t="s">
        <v>762</v>
      </c>
      <c r="BX36" s="240">
        <v>30</v>
      </c>
      <c r="BY36" s="240">
        <v>190</v>
      </c>
      <c r="BZ36" s="240">
        <v>2</v>
      </c>
      <c r="CA36" s="240">
        <v>3</v>
      </c>
      <c r="CB36" s="641">
        <v>60</v>
      </c>
      <c r="CC36" s="393">
        <v>1.8</v>
      </c>
      <c r="CD36" s="352">
        <f t="shared" si="0"/>
        <v>54</v>
      </c>
    </row>
    <row r="37" spans="1:82" ht="21" customHeight="1" x14ac:dyDescent="0.25">
      <c r="A37" s="1322"/>
      <c r="B37" s="1323"/>
      <c r="C37" s="1333"/>
      <c r="D37" s="1334"/>
      <c r="E37" s="1334"/>
      <c r="F37" s="1334"/>
      <c r="G37" s="1334"/>
      <c r="H37" s="1334"/>
      <c r="I37" s="1334"/>
      <c r="J37" s="1334"/>
      <c r="K37" s="1334"/>
      <c r="L37" s="1334"/>
      <c r="M37" s="1334"/>
      <c r="N37" s="1334"/>
      <c r="O37" s="1335"/>
      <c r="P37" s="1335"/>
      <c r="Q37" s="1335"/>
      <c r="R37" s="1335"/>
      <c r="S37" s="1336"/>
      <c r="T37" s="1337"/>
      <c r="U37" s="611"/>
      <c r="V37" s="611"/>
      <c r="W37" s="611"/>
      <c r="X37" s="611"/>
      <c r="Y37" s="611"/>
      <c r="Z37" s="122"/>
      <c r="AA37" s="122"/>
      <c r="AB37" s="122"/>
      <c r="AC37" s="122"/>
      <c r="AD37" s="122"/>
      <c r="AE37" s="122"/>
      <c r="AF37" s="122"/>
      <c r="AG37" s="122"/>
      <c r="AH37" s="122"/>
      <c r="AI37" s="122"/>
      <c r="AJ37" s="122"/>
      <c r="AK37" s="122"/>
      <c r="AL37" s="122"/>
      <c r="AM37" s="122"/>
      <c r="AN37" s="122"/>
      <c r="AO37" s="122"/>
      <c r="AP37" s="122"/>
      <c r="AQ37" s="122"/>
      <c r="AR37" s="122"/>
      <c r="AS37" s="122"/>
      <c r="AT37" s="122"/>
      <c r="AU37" s="122"/>
      <c r="AV37" s="122"/>
      <c r="AW37" s="122"/>
      <c r="AX37" s="122"/>
      <c r="AY37" s="122"/>
      <c r="AZ37" s="122"/>
      <c r="BA37" s="122"/>
      <c r="BB37" s="122"/>
      <c r="BC37" s="122"/>
      <c r="BD37" s="122"/>
      <c r="BE37" s="122"/>
      <c r="BF37" s="122"/>
      <c r="BG37" s="122"/>
      <c r="BH37" s="122"/>
      <c r="BI37" s="122"/>
      <c r="BJ37" s="122"/>
      <c r="BK37" s="122"/>
      <c r="BL37" s="122"/>
      <c r="BM37" s="122"/>
      <c r="BN37" s="122"/>
      <c r="BO37" s="122"/>
      <c r="BP37" s="122"/>
      <c r="BQ37" s="122"/>
      <c r="BR37" s="122"/>
      <c r="BS37" s="122"/>
      <c r="BT37" s="122"/>
      <c r="BU37" s="122"/>
      <c r="BW37" s="124" t="s">
        <v>687</v>
      </c>
      <c r="BX37" s="124">
        <v>60</v>
      </c>
      <c r="BY37" s="597">
        <v>160</v>
      </c>
      <c r="BZ37" s="124">
        <v>1</v>
      </c>
      <c r="CA37" s="124">
        <v>1.5</v>
      </c>
      <c r="CB37" s="641">
        <v>60</v>
      </c>
      <c r="CC37" s="393">
        <v>0.8</v>
      </c>
      <c r="CD37" s="352">
        <f t="shared" si="0"/>
        <v>48</v>
      </c>
    </row>
    <row r="38" spans="1:82" ht="21" customHeight="1" x14ac:dyDescent="0.25">
      <c r="A38" s="1324"/>
      <c r="B38" s="1325"/>
      <c r="C38" s="1338"/>
      <c r="D38" s="1335"/>
      <c r="E38" s="1335"/>
      <c r="F38" s="1335"/>
      <c r="G38" s="1335"/>
      <c r="H38" s="1335"/>
      <c r="I38" s="1335"/>
      <c r="J38" s="1335"/>
      <c r="K38" s="1335"/>
      <c r="L38" s="1335"/>
      <c r="M38" s="1335"/>
      <c r="N38" s="1335"/>
      <c r="O38" s="1335"/>
      <c r="P38" s="1335"/>
      <c r="Q38" s="1335"/>
      <c r="R38" s="1335"/>
      <c r="S38" s="1336"/>
      <c r="T38" s="1337"/>
      <c r="U38" s="611"/>
      <c r="V38" s="611"/>
      <c r="W38" s="611"/>
      <c r="X38" s="611"/>
      <c r="Y38" s="611"/>
      <c r="Z38" s="122"/>
      <c r="AA38" s="122"/>
      <c r="AB38" s="122"/>
      <c r="AC38" s="122"/>
      <c r="AD38" s="122"/>
      <c r="AE38" s="122"/>
      <c r="AF38" s="122"/>
      <c r="AG38" s="122"/>
      <c r="AH38" s="122"/>
      <c r="AI38" s="122"/>
      <c r="AJ38" s="122"/>
      <c r="AK38" s="122"/>
      <c r="AL38" s="122"/>
      <c r="AM38" s="122"/>
      <c r="AN38" s="122"/>
      <c r="AO38" s="122"/>
      <c r="AP38" s="122"/>
      <c r="AQ38" s="122"/>
      <c r="AR38" s="122"/>
      <c r="AS38" s="122"/>
      <c r="AT38" s="122"/>
      <c r="AU38" s="122"/>
      <c r="AV38" s="122"/>
      <c r="AW38" s="122"/>
      <c r="AX38" s="122"/>
      <c r="AY38" s="122"/>
      <c r="AZ38" s="122"/>
      <c r="BA38" s="122"/>
      <c r="BB38" s="122"/>
      <c r="BC38" s="122"/>
      <c r="BD38" s="122"/>
      <c r="BE38" s="122"/>
      <c r="BF38" s="122"/>
      <c r="BG38" s="122"/>
      <c r="BH38" s="122"/>
      <c r="BI38" s="122"/>
      <c r="BJ38" s="122"/>
      <c r="BK38" s="122"/>
      <c r="BL38" s="122"/>
      <c r="BM38" s="122"/>
      <c r="BS38" s="122"/>
      <c r="BT38" s="122"/>
      <c r="BU38" s="122"/>
      <c r="BW38" s="598" t="s">
        <v>688</v>
      </c>
      <c r="BX38" s="598">
        <v>60</v>
      </c>
      <c r="BY38" s="598">
        <v>180</v>
      </c>
      <c r="BZ38" s="124">
        <v>1</v>
      </c>
      <c r="CA38" s="124">
        <v>1.5</v>
      </c>
      <c r="CB38" s="641">
        <v>60</v>
      </c>
      <c r="CC38" s="393">
        <v>0.8</v>
      </c>
      <c r="CD38" s="352">
        <f t="shared" si="0"/>
        <v>48</v>
      </c>
    </row>
    <row r="39" spans="1:82" ht="21" customHeight="1" x14ac:dyDescent="0.25">
      <c r="A39" s="1324"/>
      <c r="B39" s="1325"/>
      <c r="C39" s="1338"/>
      <c r="D39" s="1335"/>
      <c r="E39" s="1335"/>
      <c r="F39" s="1335"/>
      <c r="G39" s="1335"/>
      <c r="H39" s="1335"/>
      <c r="I39" s="1335"/>
      <c r="J39" s="1335"/>
      <c r="K39" s="1335"/>
      <c r="L39" s="1335"/>
      <c r="M39" s="1335"/>
      <c r="N39" s="1335"/>
      <c r="O39" s="1335"/>
      <c r="P39" s="1335"/>
      <c r="Q39" s="1335"/>
      <c r="R39" s="1335"/>
      <c r="S39" s="1336"/>
      <c r="T39" s="1337"/>
      <c r="BW39" s="580" t="s">
        <v>685</v>
      </c>
      <c r="BX39" s="580">
        <v>70</v>
      </c>
      <c r="BY39" s="580">
        <v>220</v>
      </c>
      <c r="BZ39" s="580">
        <v>1</v>
      </c>
      <c r="CA39" s="580">
        <v>1.5</v>
      </c>
      <c r="CB39" s="393">
        <v>60</v>
      </c>
      <c r="CC39" s="393">
        <v>0.8</v>
      </c>
      <c r="CD39" s="352">
        <f t="shared" si="0"/>
        <v>56</v>
      </c>
    </row>
    <row r="40" spans="1:82" ht="21" customHeight="1" x14ac:dyDescent="0.25">
      <c r="A40" s="1326"/>
      <c r="B40" s="1327"/>
      <c r="C40" s="1339"/>
      <c r="D40" s="1340"/>
      <c r="E40" s="1340"/>
      <c r="F40" s="1340"/>
      <c r="G40" s="1340"/>
      <c r="H40" s="1340"/>
      <c r="I40" s="1340"/>
      <c r="J40" s="1340"/>
      <c r="K40" s="1340"/>
      <c r="L40" s="1340"/>
      <c r="M40" s="1340"/>
      <c r="N40" s="1340"/>
      <c r="O40" s="1340"/>
      <c r="P40" s="1340"/>
      <c r="Q40" s="1340"/>
      <c r="R40" s="1340"/>
      <c r="S40" s="1341"/>
      <c r="T40" s="1342"/>
      <c r="BW40" s="124" t="s">
        <v>694</v>
      </c>
      <c r="BX40" s="124">
        <v>30</v>
      </c>
      <c r="BY40" s="592">
        <v>120</v>
      </c>
      <c r="BZ40" s="594">
        <v>2</v>
      </c>
      <c r="CA40" s="594">
        <v>3</v>
      </c>
      <c r="CB40" s="641">
        <v>90</v>
      </c>
      <c r="CC40" s="393">
        <v>1.6</v>
      </c>
      <c r="CD40" s="352">
        <f t="shared" si="0"/>
        <v>48</v>
      </c>
    </row>
    <row r="41" spans="1:82" ht="21.75" customHeight="1" x14ac:dyDescent="0.25">
      <c r="BW41" s="580" t="s">
        <v>766</v>
      </c>
      <c r="BX41" s="580">
        <v>400</v>
      </c>
      <c r="BY41" s="580">
        <v>140</v>
      </c>
      <c r="BZ41" s="580">
        <v>0.2</v>
      </c>
      <c r="CA41" s="580">
        <v>0.3</v>
      </c>
      <c r="CB41" s="641">
        <v>60</v>
      </c>
      <c r="CC41" s="393">
        <v>0.2</v>
      </c>
      <c r="CD41" s="352">
        <f t="shared" si="0"/>
        <v>80</v>
      </c>
    </row>
    <row r="42" spans="1:82" ht="21.75" customHeight="1" x14ac:dyDescent="0.25">
      <c r="A42" s="1320" t="s">
        <v>617</v>
      </c>
      <c r="B42" s="1321"/>
      <c r="C42" s="1347" t="s">
        <v>1086</v>
      </c>
      <c r="D42" s="1281"/>
      <c r="E42" s="1281"/>
      <c r="F42" s="1281"/>
      <c r="G42" s="1281"/>
      <c r="H42" s="1281"/>
      <c r="I42" s="1281"/>
      <c r="J42" s="1281"/>
      <c r="K42" s="1281"/>
      <c r="L42" s="1281"/>
      <c r="M42" s="1281"/>
      <c r="N42" s="1281"/>
      <c r="O42" s="1281"/>
      <c r="P42" s="1281"/>
      <c r="Q42" s="1348"/>
      <c r="R42" s="1348"/>
      <c r="S42" s="1349"/>
      <c r="T42" s="1349"/>
      <c r="BW42" s="240" t="s">
        <v>252</v>
      </c>
      <c r="BX42" s="240">
        <v>450</v>
      </c>
      <c r="BY42" s="240">
        <v>200</v>
      </c>
      <c r="BZ42" s="240">
        <v>0.2</v>
      </c>
      <c r="CA42" s="240">
        <v>0.3</v>
      </c>
      <c r="CB42" s="641">
        <v>60</v>
      </c>
      <c r="CC42" s="393">
        <v>0.18</v>
      </c>
      <c r="CD42" s="352">
        <f t="shared" si="0"/>
        <v>81</v>
      </c>
    </row>
    <row r="43" spans="1:82" ht="21.75" customHeight="1" x14ac:dyDescent="0.25">
      <c r="A43" s="1322"/>
      <c r="B43" s="1323"/>
      <c r="C43" s="1281"/>
      <c r="D43" s="1281"/>
      <c r="E43" s="1281"/>
      <c r="F43" s="1281"/>
      <c r="G43" s="1281"/>
      <c r="H43" s="1281"/>
      <c r="I43" s="1281"/>
      <c r="J43" s="1281"/>
      <c r="K43" s="1281"/>
      <c r="L43" s="1281"/>
      <c r="M43" s="1281"/>
      <c r="N43" s="1281"/>
      <c r="O43" s="1281"/>
      <c r="P43" s="1281"/>
      <c r="Q43" s="1348"/>
      <c r="R43" s="1348"/>
      <c r="S43" s="1349"/>
      <c r="T43" s="1349"/>
      <c r="BW43" s="80" t="s">
        <v>1300</v>
      </c>
      <c r="BX43" s="124">
        <v>300</v>
      </c>
      <c r="BY43" s="124">
        <v>205</v>
      </c>
      <c r="BZ43" s="124">
        <v>0.33300000000000002</v>
      </c>
      <c r="CA43" s="124">
        <v>0.33300000000000002</v>
      </c>
      <c r="CB43" s="641">
        <v>30</v>
      </c>
      <c r="CC43" s="393">
        <v>0.115</v>
      </c>
      <c r="CD43" s="352">
        <f t="shared" si="0"/>
        <v>34.5</v>
      </c>
    </row>
    <row r="44" spans="1:82" ht="21.75" customHeight="1" x14ac:dyDescent="0.25">
      <c r="A44" s="1343"/>
      <c r="B44" s="1344"/>
      <c r="C44" s="1281"/>
      <c r="D44" s="1281"/>
      <c r="E44" s="1281"/>
      <c r="F44" s="1281"/>
      <c r="G44" s="1281"/>
      <c r="H44" s="1281"/>
      <c r="I44" s="1281"/>
      <c r="J44" s="1281"/>
      <c r="K44" s="1281"/>
      <c r="L44" s="1281"/>
      <c r="M44" s="1281"/>
      <c r="N44" s="1281"/>
      <c r="O44" s="1281"/>
      <c r="P44" s="1281"/>
      <c r="Q44" s="1348"/>
      <c r="R44" s="1348"/>
      <c r="S44" s="1349"/>
      <c r="T44" s="1349"/>
      <c r="BW44" s="240" t="s">
        <v>700</v>
      </c>
      <c r="BX44" s="240">
        <v>450</v>
      </c>
      <c r="BY44" s="240">
        <v>180</v>
      </c>
      <c r="BZ44" s="240">
        <v>0.2</v>
      </c>
      <c r="CA44" s="240">
        <v>0.3</v>
      </c>
      <c r="CB44" s="641">
        <v>90</v>
      </c>
      <c r="CC44" s="596">
        <v>0.18</v>
      </c>
      <c r="CD44" s="352">
        <f t="shared" si="0"/>
        <v>81</v>
      </c>
    </row>
    <row r="45" spans="1:82" ht="15.75" customHeight="1" x14ac:dyDescent="0.25">
      <c r="A45" s="1345"/>
      <c r="B45" s="1346"/>
      <c r="C45" s="1347" t="s">
        <v>594</v>
      </c>
      <c r="D45" s="1281"/>
      <c r="E45" s="1281"/>
      <c r="F45" s="1281"/>
      <c r="G45" s="1281"/>
      <c r="H45" s="1281"/>
      <c r="I45" s="1281"/>
      <c r="J45" s="1281"/>
      <c r="K45" s="1281"/>
      <c r="L45" s="1281"/>
      <c r="M45" s="1281"/>
      <c r="N45" s="1281"/>
      <c r="O45" s="1348"/>
      <c r="P45" s="1348"/>
      <c r="Q45" s="1348"/>
      <c r="R45" s="1348"/>
      <c r="S45" s="1349"/>
      <c r="T45" s="1349"/>
      <c r="BW45" s="644" t="s">
        <v>773</v>
      </c>
      <c r="BX45" s="644">
        <v>30</v>
      </c>
      <c r="BY45" s="644">
        <v>100</v>
      </c>
      <c r="BZ45" s="644">
        <v>2</v>
      </c>
      <c r="CA45" s="644">
        <v>3</v>
      </c>
      <c r="CB45" s="393">
        <v>60</v>
      </c>
      <c r="CC45" s="393">
        <v>1.3</v>
      </c>
      <c r="CD45" s="352">
        <f t="shared" si="0"/>
        <v>39</v>
      </c>
    </row>
    <row r="46" spans="1:82" ht="12.75" customHeight="1" x14ac:dyDescent="0.25">
      <c r="BW46" s="598" t="s">
        <v>775</v>
      </c>
      <c r="BX46" s="598">
        <v>30</v>
      </c>
      <c r="BY46" s="598">
        <v>260</v>
      </c>
      <c r="BZ46" s="598">
        <v>5</v>
      </c>
      <c r="CA46" s="598">
        <v>7.5</v>
      </c>
      <c r="CB46" s="598">
        <v>60</v>
      </c>
      <c r="CC46" s="598">
        <v>1.3</v>
      </c>
      <c r="CD46" s="352">
        <f t="shared" si="0"/>
        <v>39</v>
      </c>
    </row>
    <row r="47" spans="1:82" ht="12.75" customHeight="1" x14ac:dyDescent="0.25">
      <c r="BW47" s="240" t="s">
        <v>699</v>
      </c>
      <c r="BX47" s="240">
        <v>500</v>
      </c>
      <c r="BY47" s="240">
        <v>150</v>
      </c>
      <c r="BZ47" s="240">
        <v>0.2</v>
      </c>
      <c r="CA47" s="224">
        <v>0.3</v>
      </c>
      <c r="CB47" s="641">
        <v>90</v>
      </c>
      <c r="CC47" s="393">
        <v>0.1</v>
      </c>
      <c r="CD47" s="352">
        <f t="shared" si="0"/>
        <v>50</v>
      </c>
    </row>
    <row r="48" spans="1:82" ht="12.75" customHeight="1" x14ac:dyDescent="0.25">
      <c r="BW48" s="124" t="s">
        <v>92</v>
      </c>
      <c r="BX48" s="124">
        <v>70</v>
      </c>
      <c r="BY48" s="124">
        <v>180</v>
      </c>
      <c r="BZ48" s="124">
        <v>1</v>
      </c>
      <c r="CA48" s="124">
        <v>1.5</v>
      </c>
      <c r="CB48" s="641">
        <v>90</v>
      </c>
      <c r="CC48" s="393">
        <v>0.8</v>
      </c>
      <c r="CD48" s="352">
        <f t="shared" si="0"/>
        <v>56</v>
      </c>
    </row>
    <row r="49" spans="22:82" ht="17.25" customHeight="1" x14ac:dyDescent="0.25">
      <c r="BW49" s="580" t="s">
        <v>765</v>
      </c>
      <c r="BX49" s="580">
        <v>350</v>
      </c>
      <c r="BY49" s="580">
        <v>210</v>
      </c>
      <c r="BZ49" s="580">
        <v>0.2</v>
      </c>
      <c r="CA49" s="580">
        <v>0.3</v>
      </c>
      <c r="CB49" s="641">
        <v>90</v>
      </c>
      <c r="CC49" s="393">
        <v>0.23</v>
      </c>
      <c r="CD49" s="352">
        <f t="shared" si="0"/>
        <v>80.5</v>
      </c>
    </row>
    <row r="50" spans="22:82" ht="15.75" customHeight="1" x14ac:dyDescent="0.25">
      <c r="BW50" s="580" t="s">
        <v>767</v>
      </c>
      <c r="BX50" s="580">
        <v>350</v>
      </c>
      <c r="BY50" s="580">
        <v>180</v>
      </c>
      <c r="BZ50" s="580">
        <v>0.2</v>
      </c>
      <c r="CA50" s="580">
        <v>0.3</v>
      </c>
      <c r="CB50" s="641">
        <v>90</v>
      </c>
      <c r="CC50" s="393">
        <v>0.23</v>
      </c>
      <c r="CD50" s="352">
        <f t="shared" si="0"/>
        <v>80.5</v>
      </c>
    </row>
    <row r="51" spans="22:82" ht="15.75" customHeight="1" x14ac:dyDescent="0.25">
      <c r="BW51" s="598" t="s">
        <v>726</v>
      </c>
      <c r="BX51" s="598">
        <v>350</v>
      </c>
      <c r="BY51" s="598">
        <v>140</v>
      </c>
      <c r="BZ51" s="598">
        <v>0.15</v>
      </c>
      <c r="CA51" s="598">
        <v>0.23</v>
      </c>
      <c r="CB51" s="641">
        <v>90</v>
      </c>
      <c r="CC51" s="393">
        <v>0.23</v>
      </c>
      <c r="CD51" s="352">
        <f t="shared" si="0"/>
        <v>80.5</v>
      </c>
    </row>
    <row r="52" spans="22:82" ht="15.75" customHeight="1" x14ac:dyDescent="0.25">
      <c r="V52" s="147"/>
      <c r="W52" s="147"/>
      <c r="BW52" s="598" t="s">
        <v>741</v>
      </c>
      <c r="BX52" s="598">
        <v>350</v>
      </c>
      <c r="BY52" s="598">
        <v>100</v>
      </c>
      <c r="BZ52" s="598">
        <v>0.1</v>
      </c>
      <c r="CA52" s="598">
        <v>0.15</v>
      </c>
      <c r="CB52" s="641">
        <v>90</v>
      </c>
      <c r="CC52" s="393">
        <v>0.23</v>
      </c>
      <c r="CD52" s="352">
        <f t="shared" si="0"/>
        <v>80.5</v>
      </c>
    </row>
    <row r="53" spans="22:82" ht="15.75" customHeight="1" x14ac:dyDescent="0.25">
      <c r="AE53" s="124"/>
      <c r="AF53" s="124"/>
      <c r="AG53" s="124"/>
      <c r="BW53" s="124" t="s">
        <v>703</v>
      </c>
      <c r="BX53" s="124">
        <v>40</v>
      </c>
      <c r="BY53" s="124">
        <v>200</v>
      </c>
      <c r="BZ53" s="124">
        <v>2</v>
      </c>
      <c r="CA53" s="124">
        <v>3</v>
      </c>
      <c r="CB53" s="641">
        <v>90</v>
      </c>
      <c r="CC53" s="393">
        <v>1.8</v>
      </c>
      <c r="CD53" s="352">
        <f t="shared" si="0"/>
        <v>72</v>
      </c>
    </row>
    <row r="54" spans="22:82" ht="15.75" customHeight="1" x14ac:dyDescent="0.25">
      <c r="AE54" s="124"/>
      <c r="AF54" s="124"/>
      <c r="AG54" s="124"/>
      <c r="BW54" s="124" t="s">
        <v>157</v>
      </c>
      <c r="BX54" s="124">
        <v>70</v>
      </c>
      <c r="BY54" s="124">
        <v>170</v>
      </c>
      <c r="BZ54" s="124">
        <v>1</v>
      </c>
      <c r="CA54" s="124">
        <v>1.5</v>
      </c>
      <c r="CB54" s="641">
        <v>90</v>
      </c>
      <c r="CC54" s="393">
        <v>0.8</v>
      </c>
      <c r="CD54" s="352">
        <f t="shared" si="0"/>
        <v>56</v>
      </c>
    </row>
    <row r="55" spans="22:82" ht="15.75" customHeight="1" x14ac:dyDescent="0.25">
      <c r="AE55" s="124"/>
      <c r="AF55" s="124"/>
      <c r="AG55" s="124"/>
      <c r="BW55" s="124" t="s">
        <v>156</v>
      </c>
      <c r="BX55" s="124">
        <v>70</v>
      </c>
      <c r="BY55" s="124">
        <v>190</v>
      </c>
      <c r="BZ55" s="124">
        <v>1</v>
      </c>
      <c r="CA55" s="124">
        <v>1.5</v>
      </c>
      <c r="CB55" s="641">
        <v>90</v>
      </c>
      <c r="CC55" s="393">
        <v>0.8</v>
      </c>
      <c r="CD55" s="352">
        <f t="shared" si="0"/>
        <v>56</v>
      </c>
    </row>
    <row r="56" spans="22:82" ht="15.75" customHeight="1" x14ac:dyDescent="0.25">
      <c r="AE56" s="124"/>
      <c r="AF56" s="124"/>
      <c r="AG56" s="124"/>
      <c r="AI56" s="124"/>
      <c r="AJ56" s="124"/>
      <c r="BW56" s="124" t="s">
        <v>222</v>
      </c>
      <c r="BX56" s="124">
        <v>80</v>
      </c>
      <c r="BY56" s="124">
        <v>230</v>
      </c>
      <c r="BZ56" s="124">
        <v>1</v>
      </c>
      <c r="CA56" s="124">
        <v>1.5</v>
      </c>
      <c r="CB56" s="641">
        <v>90</v>
      </c>
      <c r="CC56" s="393">
        <v>0.8</v>
      </c>
      <c r="CD56" s="352">
        <f t="shared" si="0"/>
        <v>64</v>
      </c>
    </row>
    <row r="57" spans="22:82" ht="15.75" customHeight="1" x14ac:dyDescent="0.25">
      <c r="AE57" s="124"/>
      <c r="AF57" s="124"/>
      <c r="AG57" s="124"/>
      <c r="BW57" s="124" t="s">
        <v>686</v>
      </c>
      <c r="BX57" s="124">
        <v>80</v>
      </c>
      <c r="BY57" s="124">
        <v>210</v>
      </c>
      <c r="BZ57" s="124">
        <v>1</v>
      </c>
      <c r="CA57" s="124">
        <v>1.5</v>
      </c>
      <c r="CB57" s="641">
        <v>90</v>
      </c>
      <c r="CC57" s="393">
        <v>0.8</v>
      </c>
      <c r="CD57" s="352">
        <f t="shared" si="0"/>
        <v>64</v>
      </c>
    </row>
    <row r="58" spans="22:82" ht="15.75" customHeight="1" x14ac:dyDescent="0.25">
      <c r="V58" s="166"/>
      <c r="W58" s="166"/>
      <c r="AE58" s="124"/>
      <c r="AF58" s="124"/>
      <c r="AG58" s="124"/>
      <c r="BW58" s="124" t="s">
        <v>223</v>
      </c>
      <c r="BX58" s="124">
        <v>80</v>
      </c>
      <c r="BY58" s="124">
        <v>260</v>
      </c>
      <c r="BZ58" s="124">
        <v>1</v>
      </c>
      <c r="CA58" s="124">
        <v>1.5</v>
      </c>
      <c r="CB58" s="641">
        <v>90</v>
      </c>
      <c r="CC58" s="393">
        <v>0.8</v>
      </c>
      <c r="CD58" s="352">
        <f t="shared" si="0"/>
        <v>64</v>
      </c>
    </row>
    <row r="59" spans="22:82" ht="15.75" customHeight="1" x14ac:dyDescent="0.25">
      <c r="V59" s="166"/>
      <c r="W59" s="166"/>
      <c r="BW59" s="580" t="s">
        <v>758</v>
      </c>
      <c r="BX59" s="580">
        <v>80</v>
      </c>
      <c r="BY59" s="580">
        <v>180</v>
      </c>
      <c r="BZ59" s="580">
        <v>1</v>
      </c>
      <c r="CA59" s="580">
        <v>1.5</v>
      </c>
      <c r="CB59" s="641">
        <v>90</v>
      </c>
      <c r="CC59" s="393">
        <v>0.8</v>
      </c>
      <c r="CD59" s="352">
        <f t="shared" si="0"/>
        <v>64</v>
      </c>
    </row>
    <row r="60" spans="22:82" ht="15.75" customHeight="1" x14ac:dyDescent="0.25">
      <c r="BT60" s="391"/>
      <c r="BU60" s="391"/>
      <c r="BW60" s="124" t="s">
        <v>126</v>
      </c>
      <c r="BX60" s="124">
        <v>650</v>
      </c>
      <c r="BY60" s="124">
        <v>170</v>
      </c>
      <c r="BZ60" s="593">
        <v>0.1</v>
      </c>
      <c r="CA60" s="593">
        <v>0.15</v>
      </c>
      <c r="CB60" s="641">
        <v>90</v>
      </c>
      <c r="CC60" s="393">
        <v>0.1</v>
      </c>
      <c r="CD60" s="352">
        <f t="shared" si="0"/>
        <v>65</v>
      </c>
    </row>
    <row r="61" spans="22:82" ht="15.75" customHeight="1" x14ac:dyDescent="0.25">
      <c r="BW61" s="124" t="s">
        <v>698</v>
      </c>
      <c r="BX61" s="124">
        <v>600</v>
      </c>
      <c r="BY61" s="124">
        <v>155</v>
      </c>
      <c r="BZ61" s="596">
        <v>0.16666700000000001</v>
      </c>
      <c r="CA61" s="596">
        <v>0.16666700000000001</v>
      </c>
      <c r="CB61" s="641">
        <v>60</v>
      </c>
      <c r="CC61" s="393">
        <v>0.08</v>
      </c>
      <c r="CD61" s="352">
        <f t="shared" si="0"/>
        <v>48</v>
      </c>
    </row>
    <row r="62" spans="22:82" ht="15.75" customHeight="1" x14ac:dyDescent="0.25">
      <c r="CC62" s="641"/>
    </row>
    <row r="63" spans="22:82" ht="15.75" customHeight="1" x14ac:dyDescent="0.25">
      <c r="BX63" s="60" t="s">
        <v>5</v>
      </c>
      <c r="CC63" s="641"/>
    </row>
    <row r="64" spans="22:82" ht="15.75" customHeight="1" x14ac:dyDescent="0.25">
      <c r="BW64" s="41" t="s">
        <v>6</v>
      </c>
      <c r="CC64" s="641"/>
    </row>
    <row r="65" spans="74:81" ht="15.75" customHeight="1" x14ac:dyDescent="0.25">
      <c r="BW65" s="17" t="s">
        <v>510</v>
      </c>
      <c r="BX65" s="124">
        <v>0</v>
      </c>
      <c r="CC65" s="641"/>
    </row>
    <row r="66" spans="74:81" ht="15.75" customHeight="1" x14ac:dyDescent="0.25">
      <c r="BW66" s="17" t="s">
        <v>22</v>
      </c>
      <c r="BX66" s="124">
        <v>10</v>
      </c>
    </row>
    <row r="67" spans="74:81" ht="15.75" customHeight="1" x14ac:dyDescent="0.25">
      <c r="BW67" s="17" t="s">
        <v>535</v>
      </c>
      <c r="BX67" s="124">
        <v>10</v>
      </c>
    </row>
    <row r="68" spans="74:81" ht="15.75" customHeight="1" x14ac:dyDescent="0.25">
      <c r="BW68" s="17" t="s">
        <v>7</v>
      </c>
      <c r="BX68" s="124">
        <v>10</v>
      </c>
    </row>
    <row r="69" spans="74:81" ht="15.75" customHeight="1" x14ac:dyDescent="0.25">
      <c r="BW69" s="17" t="s">
        <v>17</v>
      </c>
      <c r="BX69" s="124">
        <v>20</v>
      </c>
      <c r="BZ69" s="60"/>
    </row>
    <row r="70" spans="74:81" ht="15.75" customHeight="1" x14ac:dyDescent="0.25">
      <c r="BW70" s="17" t="s">
        <v>23</v>
      </c>
      <c r="BX70" s="124">
        <v>0</v>
      </c>
    </row>
    <row r="71" spans="74:81" ht="15.75" customHeight="1" x14ac:dyDescent="0.25">
      <c r="BW71" s="17" t="s">
        <v>20</v>
      </c>
      <c r="BX71" s="124">
        <v>20</v>
      </c>
    </row>
    <row r="72" spans="74:81" ht="15.75" customHeight="1" x14ac:dyDescent="0.25">
      <c r="BW72" s="17" t="s">
        <v>19</v>
      </c>
      <c r="BX72" s="124">
        <v>10</v>
      </c>
    </row>
    <row r="73" spans="74:81" ht="15.75" customHeight="1" x14ac:dyDescent="0.25">
      <c r="BW73" s="17" t="s">
        <v>536</v>
      </c>
      <c r="BX73" s="124">
        <v>0</v>
      </c>
    </row>
    <row r="74" spans="74:81" ht="15.75" customHeight="1" x14ac:dyDescent="0.25">
      <c r="BW74" s="17" t="s">
        <v>21</v>
      </c>
      <c r="BX74" s="124">
        <v>10</v>
      </c>
    </row>
    <row r="75" spans="74:81" ht="15.75" customHeight="1" x14ac:dyDescent="0.25">
      <c r="BW75" s="17" t="s">
        <v>18</v>
      </c>
      <c r="BX75" s="124">
        <v>20</v>
      </c>
    </row>
    <row r="76" spans="74:81" ht="15.75" customHeight="1" x14ac:dyDescent="0.25"/>
    <row r="77" spans="74:81" ht="15.75" customHeight="1" x14ac:dyDescent="0.25">
      <c r="BW77" s="41" t="s">
        <v>8</v>
      </c>
    </row>
    <row r="78" spans="74:81" ht="15.75" customHeight="1" x14ac:dyDescent="0.25">
      <c r="BW78" s="17" t="s">
        <v>25</v>
      </c>
      <c r="BX78" s="124">
        <v>0</v>
      </c>
    </row>
    <row r="79" spans="74:81" ht="15.75" customHeight="1" x14ac:dyDescent="0.25">
      <c r="BW79" s="17" t="s">
        <v>538</v>
      </c>
      <c r="BX79" s="124">
        <v>0</v>
      </c>
    </row>
    <row r="80" spans="74:81" ht="15.75" customHeight="1" x14ac:dyDescent="0.25">
      <c r="BV80" s="17"/>
      <c r="BW80" s="17" t="s">
        <v>537</v>
      </c>
      <c r="BX80" s="124">
        <v>20</v>
      </c>
    </row>
    <row r="81" spans="74:76" ht="15.75" customHeight="1" x14ac:dyDescent="0.25">
      <c r="BV81" s="17"/>
      <c r="BW81" s="17" t="s">
        <v>28</v>
      </c>
      <c r="BX81" s="124">
        <v>10</v>
      </c>
    </row>
    <row r="82" spans="74:76" ht="15.75" customHeight="1" x14ac:dyDescent="0.25">
      <c r="BW82" s="17" t="s">
        <v>540</v>
      </c>
      <c r="BX82" s="124">
        <v>10</v>
      </c>
    </row>
    <row r="83" spans="74:76" ht="15.75" customHeight="1" x14ac:dyDescent="0.25">
      <c r="BW83" s="17" t="s">
        <v>679</v>
      </c>
      <c r="BX83" s="124">
        <v>30</v>
      </c>
    </row>
    <row r="84" spans="74:76" ht="15.75" customHeight="1" x14ac:dyDescent="0.25">
      <c r="BW84" s="17" t="s">
        <v>539</v>
      </c>
      <c r="BX84" s="124">
        <v>40</v>
      </c>
    </row>
    <row r="85" spans="74:76" ht="15.75" customHeight="1" x14ac:dyDescent="0.25">
      <c r="BW85" s="17" t="s">
        <v>9</v>
      </c>
      <c r="BX85" s="124">
        <v>0</v>
      </c>
    </row>
    <row r="86" spans="74:76" ht="15.75" customHeight="1" x14ac:dyDescent="0.25">
      <c r="BW86" s="17" t="s">
        <v>10</v>
      </c>
      <c r="BX86" s="124">
        <v>10</v>
      </c>
    </row>
    <row r="87" spans="74:76" ht="15.75" customHeight="1" x14ac:dyDescent="0.25">
      <c r="BW87" s="17" t="s">
        <v>31</v>
      </c>
      <c r="BX87" s="124">
        <v>0</v>
      </c>
    </row>
    <row r="88" spans="74:76" ht="15.75" customHeight="1" x14ac:dyDescent="0.25"/>
    <row r="89" spans="74:76" ht="15.75" customHeight="1" x14ac:dyDescent="0.25">
      <c r="BW89" s="41" t="s">
        <v>159</v>
      </c>
    </row>
    <row r="90" spans="74:76" ht="15.75" customHeight="1" x14ac:dyDescent="0.25">
      <c r="BW90" s="17" t="s">
        <v>230</v>
      </c>
      <c r="BX90" s="124">
        <v>20</v>
      </c>
    </row>
    <row r="91" spans="74:76" ht="15.75" customHeight="1" x14ac:dyDescent="0.25">
      <c r="BW91" s="17" t="s">
        <v>160</v>
      </c>
      <c r="BX91" s="124">
        <v>0</v>
      </c>
    </row>
    <row r="92" spans="74:76" ht="15.75" customHeight="1" x14ac:dyDescent="0.25"/>
    <row r="93" spans="74:76" ht="15" customHeight="1" x14ac:dyDescent="0.25"/>
    <row r="94" spans="74:76" ht="58.5" customHeight="1" x14ac:dyDescent="0.25"/>
    <row r="95" spans="74:76" ht="36" customHeight="1" x14ac:dyDescent="0.25"/>
    <row r="96" spans="74:76" ht="15.75" customHeight="1" x14ac:dyDescent="0.25"/>
    <row r="97" ht="15.75" customHeight="1" x14ac:dyDescent="0.25"/>
    <row r="98" ht="15.75" customHeight="1" x14ac:dyDescent="0.25"/>
    <row r="99" ht="15.75" customHeight="1" x14ac:dyDescent="0.25"/>
    <row r="111" ht="17.25" customHeight="1" x14ac:dyDescent="0.25"/>
  </sheetData>
  <sheetProtection sheet="1" formatCells="0" formatColumns="0" formatRows="0" selectLockedCells="1"/>
  <mergeCells count="44">
    <mergeCell ref="BG1:BQ4"/>
    <mergeCell ref="I2:J2"/>
    <mergeCell ref="A4:T4"/>
    <mergeCell ref="V4:BE4"/>
    <mergeCell ref="BG5:BK6"/>
    <mergeCell ref="BM5:BQ6"/>
    <mergeCell ref="A6:A7"/>
    <mergeCell ref="B6:B7"/>
    <mergeCell ref="C6:C7"/>
    <mergeCell ref="D6:E6"/>
    <mergeCell ref="F6:G6"/>
    <mergeCell ref="H6:H7"/>
    <mergeCell ref="AL6:AQ6"/>
    <mergeCell ref="AS6:AX6"/>
    <mergeCell ref="AZ6:BE6"/>
    <mergeCell ref="W6:W7"/>
    <mergeCell ref="A42:B45"/>
    <mergeCell ref="C42:T44"/>
    <mergeCell ref="C45:T45"/>
    <mergeCell ref="A1:B3"/>
    <mergeCell ref="X6:AC6"/>
    <mergeCell ref="O6:O7"/>
    <mergeCell ref="P6:P7"/>
    <mergeCell ref="I6:I7"/>
    <mergeCell ref="J6:J7"/>
    <mergeCell ref="K6:K7"/>
    <mergeCell ref="L6:L7"/>
    <mergeCell ref="M6:M7"/>
    <mergeCell ref="N6:N7"/>
    <mergeCell ref="A5:T5"/>
    <mergeCell ref="V5:BE5"/>
    <mergeCell ref="I1:J1"/>
    <mergeCell ref="V1:W3"/>
    <mergeCell ref="Q1:R3"/>
    <mergeCell ref="A36:B40"/>
    <mergeCell ref="C36:T40"/>
    <mergeCell ref="AE6:AJ6"/>
    <mergeCell ref="X1:BE3"/>
    <mergeCell ref="R33:R34"/>
    <mergeCell ref="T33:T34"/>
    <mergeCell ref="Q6:R6"/>
    <mergeCell ref="S6:T6"/>
    <mergeCell ref="V6:V7"/>
    <mergeCell ref="L1:P3"/>
  </mergeCells>
  <dataValidations count="4">
    <dataValidation type="list" allowBlank="1" sqref="N8:N31" xr:uid="{00000000-0002-0000-0200-000000000000}">
      <formula1>BW$90:BW$91</formula1>
    </dataValidation>
    <dataValidation type="list" allowBlank="1" sqref="H8:H31" xr:uid="{00000000-0002-0000-0200-000001000000}">
      <formula1>BW$65:BW$75</formula1>
    </dataValidation>
    <dataValidation type="list" allowBlank="1" sqref="J8:J31" xr:uid="{00000000-0002-0000-0200-000002000000}">
      <formula1>BW$78:BW$87</formula1>
    </dataValidation>
    <dataValidation type="list" allowBlank="1" sqref="C8:C31" xr:uid="{00000000-0002-0000-0200-000003000000}">
      <formula1>BW$3:BW$61</formula1>
    </dataValidation>
  </dataValidations>
  <pageMargins left="0.78740157480314965" right="0.23622047244094491" top="0.74803149606299213" bottom="0.74803149606299213" header="0.31496062992125984" footer="0.31496062992125984"/>
  <pageSetup paperSize="9" scale="59" fitToHeight="0" orientation="landscape" horizontalDpi="4294967293" verticalDpi="4294967293" r:id="rId1"/>
  <rowBreaks count="1" manualBreakCount="1">
    <brk id="32" max="19" man="1"/>
  </rowBreaks>
  <colBreaks count="1" manualBreakCount="1">
    <brk id="21" max="31"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4000000}">
          <x14:formula1>
            <xm:f>Düngemittel!$B$6:$B$64</xm:f>
          </x14:formula1>
          <xm:sqref>Y8:Y31 AF8:AF31 AM8:AM31 AT8:AT31 BA8:BA31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sheetPr>
  <dimension ref="A1:BK113"/>
  <sheetViews>
    <sheetView zoomScale="90" zoomScaleNormal="90" zoomScaleSheetLayoutView="89" zoomScalePageLayoutView="60" workbookViewId="0">
      <selection activeCell="C8" sqref="C8"/>
    </sheetView>
  </sheetViews>
  <sheetFormatPr baseColWidth="10" defaultRowHeight="15" x14ac:dyDescent="0.25"/>
  <cols>
    <col min="1" max="1" width="19.5703125" style="112" customWidth="1"/>
    <col min="2" max="2" width="12.5703125" style="80" customWidth="1"/>
    <col min="3" max="3" width="36.28515625" style="80" customWidth="1"/>
    <col min="4" max="4" width="10.42578125" style="112" customWidth="1"/>
    <col min="5" max="5" width="9" style="80" customWidth="1"/>
    <col min="6" max="6" width="11.140625" style="80" customWidth="1"/>
    <col min="7" max="7" width="8.42578125" style="80" customWidth="1"/>
    <col min="8" max="8" width="10.140625" style="80" customWidth="1"/>
    <col min="9" max="9" width="13.42578125" style="80" customWidth="1"/>
    <col min="10" max="10" width="17.42578125" style="80" customWidth="1"/>
    <col min="11" max="11" width="7.5703125" style="80" customWidth="1"/>
    <col min="12" max="12" width="16.140625" style="80" customWidth="1"/>
    <col min="13" max="13" width="10.85546875" style="112" customWidth="1"/>
    <col min="14" max="14" width="12.7109375" style="241" customWidth="1"/>
    <col min="15" max="15" width="10.85546875" style="80" customWidth="1"/>
    <col min="16" max="16" width="11.7109375" style="80" customWidth="1"/>
    <col min="17" max="17" width="2.5703125" style="80" customWidth="1"/>
    <col min="18" max="18" width="15" style="80" customWidth="1"/>
    <col min="19" max="19" width="13.28515625" style="80" customWidth="1"/>
    <col min="20" max="20" width="9.5703125" style="80" customWidth="1"/>
    <col min="21" max="21" width="13.140625" style="80" customWidth="1"/>
    <col min="22" max="22" width="7.28515625" style="80" customWidth="1"/>
    <col min="23" max="25" width="7.140625" style="80" customWidth="1"/>
    <col min="26" max="26" width="1.28515625" style="80" customWidth="1"/>
    <col min="27" max="27" width="9.42578125" style="80" customWidth="1"/>
    <col min="28" max="28" width="13.140625" style="80" customWidth="1"/>
    <col min="29" max="32" width="7.28515625" style="80" customWidth="1"/>
    <col min="33" max="33" width="1.5703125" style="80" customWidth="1"/>
    <col min="34" max="34" width="9.5703125" style="80" customWidth="1"/>
    <col min="35" max="35" width="13.140625" style="80" customWidth="1"/>
    <col min="36" max="36" width="7.28515625" style="80" customWidth="1"/>
    <col min="37" max="39" width="7.140625" style="80" customWidth="1"/>
    <col min="40" max="40" width="1.85546875" style="80" customWidth="1"/>
    <col min="41" max="41" width="2.5703125" style="80" customWidth="1"/>
    <col min="42" max="42" width="8" style="80" customWidth="1"/>
    <col min="43" max="43" width="8.85546875" style="80" customWidth="1"/>
    <col min="44" max="44" width="8.7109375" style="80" customWidth="1"/>
    <col min="45" max="45" width="9.140625" style="80" customWidth="1"/>
    <col min="46" max="46" width="8.7109375" style="80" customWidth="1"/>
    <col min="47" max="47" width="2.140625" style="80" customWidth="1"/>
    <col min="48" max="48" width="8.42578125" style="80" customWidth="1"/>
    <col min="49" max="49" width="8.28515625" style="80" customWidth="1"/>
    <col min="50" max="50" width="8.140625" style="80" customWidth="1"/>
    <col min="51" max="51" width="8.85546875" style="80" customWidth="1"/>
    <col min="52" max="52" width="8" style="80" customWidth="1"/>
    <col min="53" max="53" width="5.7109375" style="80" customWidth="1"/>
    <col min="54" max="54" width="50.7109375" style="80" customWidth="1"/>
    <col min="55" max="55" width="10" style="80" customWidth="1"/>
    <col min="56" max="56" width="11.7109375" style="80" customWidth="1"/>
    <col min="57" max="57" width="12" style="80" customWidth="1"/>
    <col min="58" max="58" width="27.5703125" style="80" customWidth="1"/>
    <col min="59" max="16384" width="11.42578125" style="80"/>
  </cols>
  <sheetData>
    <row r="1" spans="1:63" ht="15.75" customHeight="1" x14ac:dyDescent="0.25">
      <c r="A1" s="269"/>
      <c r="B1" s="270"/>
      <c r="C1" s="396" t="str">
        <f>'DüV-N-Ackerbau (1)'!C1</f>
        <v>Testbetrieb</v>
      </c>
      <c r="D1" s="396"/>
      <c r="E1" s="396" t="str">
        <f>'DüV-N-Ackerbau (1)'!F1</f>
        <v>Erntejahr</v>
      </c>
      <c r="F1" s="374"/>
      <c r="G1" s="448"/>
      <c r="H1" s="1352" t="s">
        <v>34</v>
      </c>
      <c r="I1" s="1353"/>
      <c r="J1" s="448"/>
      <c r="K1" s="448"/>
      <c r="L1" s="448"/>
      <c r="M1" s="448"/>
      <c r="N1" s="477"/>
      <c r="O1" s="448"/>
      <c r="P1" s="448"/>
    </row>
    <row r="2" spans="1:63" ht="20.25" customHeight="1" x14ac:dyDescent="0.25">
      <c r="A2" s="271"/>
      <c r="B2" s="15"/>
      <c r="C2" s="112">
        <f>'DüV-N-Ackerbau (1)'!C2</f>
        <v>1</v>
      </c>
      <c r="D2" s="15"/>
      <c r="E2" s="112">
        <f>'DüV-N-Ackerbau (1)'!G1</f>
        <v>2022</v>
      </c>
      <c r="F2" s="15"/>
      <c r="G2" s="112"/>
      <c r="H2" s="1356" t="s">
        <v>36</v>
      </c>
      <c r="I2" s="1336"/>
      <c r="M2" s="80"/>
      <c r="N2" s="474"/>
      <c r="AP2" s="1286" t="s">
        <v>1169</v>
      </c>
      <c r="AQ2" s="1286"/>
      <c r="AR2" s="1286"/>
      <c r="AS2" s="1286"/>
      <c r="AT2" s="1286"/>
      <c r="AU2" s="1286"/>
      <c r="AV2" s="1286"/>
      <c r="AW2" s="1286"/>
      <c r="AX2" s="1286"/>
      <c r="AY2" s="1286"/>
      <c r="AZ2" s="1286"/>
    </row>
    <row r="3" spans="1:63" ht="17.25" customHeight="1" thickBot="1" x14ac:dyDescent="0.3">
      <c r="A3" s="793"/>
      <c r="B3" s="794"/>
      <c r="C3" s="795">
        <f>'DüV-N-Ackerbau (1)'!C3</f>
        <v>123456</v>
      </c>
      <c r="D3" s="794"/>
      <c r="E3" s="794"/>
      <c r="F3" s="794"/>
      <c r="G3" s="371"/>
      <c r="H3" s="371"/>
      <c r="I3" s="371"/>
      <c r="J3" s="371"/>
      <c r="K3" s="371"/>
      <c r="L3" s="783"/>
      <c r="M3" s="796"/>
      <c r="N3" s="796"/>
      <c r="O3" s="796"/>
      <c r="P3" s="796"/>
      <c r="Q3" s="124"/>
      <c r="R3" s="124"/>
      <c r="S3" s="124"/>
      <c r="T3" s="124"/>
      <c r="U3" s="124"/>
      <c r="V3" s="124"/>
      <c r="W3" s="124"/>
      <c r="X3" s="124"/>
      <c r="Y3" s="124"/>
      <c r="Z3" s="124"/>
      <c r="AA3" s="124"/>
      <c r="AB3" s="124"/>
      <c r="AC3" s="124"/>
      <c r="AD3" s="124"/>
      <c r="AE3" s="124"/>
      <c r="AP3" s="1286"/>
      <c r="AQ3" s="1286"/>
      <c r="AR3" s="1286"/>
      <c r="AS3" s="1286"/>
      <c r="AT3" s="1286"/>
      <c r="AU3" s="1286"/>
      <c r="AV3" s="1286"/>
      <c r="AW3" s="1286"/>
      <c r="AX3" s="1286"/>
      <c r="AY3" s="1286"/>
      <c r="AZ3" s="1286"/>
    </row>
    <row r="4" spans="1:63" ht="34.5" customHeight="1" thickBot="1" x14ac:dyDescent="0.3">
      <c r="A4" s="1397" t="s">
        <v>1237</v>
      </c>
      <c r="B4" s="1398"/>
      <c r="C4" s="1398"/>
      <c r="D4" s="1398"/>
      <c r="E4" s="1398"/>
      <c r="F4" s="1398"/>
      <c r="G4" s="1398"/>
      <c r="H4" s="1398"/>
      <c r="I4" s="1398"/>
      <c r="J4" s="1398"/>
      <c r="K4" s="1398"/>
      <c r="L4" s="1398"/>
      <c r="M4" s="1398"/>
      <c r="N4" s="1398"/>
      <c r="O4" s="1399"/>
      <c r="P4" s="1400"/>
      <c r="R4" s="1280" t="s">
        <v>1183</v>
      </c>
      <c r="S4" s="1286"/>
      <c r="T4" s="1286"/>
      <c r="U4" s="1286"/>
      <c r="V4" s="1286"/>
      <c r="W4" s="1286"/>
      <c r="X4" s="1286"/>
      <c r="Y4" s="1286"/>
      <c r="Z4" s="1286"/>
      <c r="AA4" s="1286"/>
      <c r="AB4" s="1286"/>
      <c r="AC4" s="1286"/>
      <c r="AD4" s="1286"/>
      <c r="AE4" s="1286"/>
      <c r="AF4" s="1286"/>
      <c r="AG4" s="1286"/>
      <c r="AH4" s="1286"/>
      <c r="AI4" s="1286"/>
      <c r="AJ4" s="1286"/>
      <c r="AK4" s="1286"/>
      <c r="AL4" s="1286"/>
      <c r="AM4" s="1286"/>
      <c r="AN4" s="123"/>
      <c r="AP4" s="1286"/>
      <c r="AQ4" s="1286"/>
      <c r="AR4" s="1286"/>
      <c r="AS4" s="1286"/>
      <c r="AT4" s="1286"/>
      <c r="AU4" s="1286"/>
      <c r="AV4" s="1286"/>
      <c r="AW4" s="1286"/>
      <c r="AX4" s="1286"/>
      <c r="AY4" s="1286"/>
      <c r="AZ4" s="1286"/>
    </row>
    <row r="5" spans="1:63" ht="35.25" customHeight="1" thickBot="1" x14ac:dyDescent="0.3">
      <c r="A5" s="1308" t="s">
        <v>1186</v>
      </c>
      <c r="B5" s="1401"/>
      <c r="C5" s="1401"/>
      <c r="D5" s="1401"/>
      <c r="E5" s="1401"/>
      <c r="F5" s="1401"/>
      <c r="G5" s="1401"/>
      <c r="H5" s="1401"/>
      <c r="I5" s="1401"/>
      <c r="J5" s="1401"/>
      <c r="K5" s="1401"/>
      <c r="L5" s="1401"/>
      <c r="M5" s="1401"/>
      <c r="N5" s="1401"/>
      <c r="O5" s="1401"/>
      <c r="P5" s="1309"/>
      <c r="Q5" s="400"/>
      <c r="R5" s="1288" t="s">
        <v>1184</v>
      </c>
      <c r="S5" s="1286"/>
      <c r="T5" s="1286"/>
      <c r="U5" s="1286"/>
      <c r="V5" s="1286"/>
      <c r="W5" s="1286"/>
      <c r="X5" s="1286"/>
      <c r="Y5" s="1286"/>
      <c r="Z5" s="1286"/>
      <c r="AA5" s="1286"/>
      <c r="AB5" s="1286"/>
      <c r="AC5" s="1286"/>
      <c r="AD5" s="1286"/>
      <c r="AE5" s="1286"/>
      <c r="AF5" s="1286"/>
      <c r="AG5" s="1286"/>
      <c r="AH5" s="1286"/>
      <c r="AI5" s="1286"/>
      <c r="AJ5" s="1286"/>
      <c r="AK5" s="1286"/>
      <c r="AL5" s="1286"/>
      <c r="AM5" s="1286"/>
      <c r="AN5" s="711"/>
      <c r="AO5" s="181"/>
      <c r="AP5" s="1402" t="s">
        <v>1081</v>
      </c>
      <c r="AQ5" s="1396"/>
      <c r="AR5" s="1396"/>
      <c r="AS5" s="1396"/>
      <c r="AT5" s="1396"/>
      <c r="AU5" s="181"/>
      <c r="AV5" s="1403" t="s">
        <v>1092</v>
      </c>
      <c r="AW5" s="1379"/>
      <c r="AX5" s="1379"/>
      <c r="AY5" s="1379"/>
      <c r="AZ5" s="1380"/>
      <c r="BA5" s="123"/>
      <c r="BD5" s="16"/>
      <c r="BF5" s="737"/>
      <c r="BG5" s="738"/>
      <c r="BH5" s="739"/>
      <c r="BI5" s="739"/>
      <c r="BJ5" s="739"/>
      <c r="BK5" s="739"/>
    </row>
    <row r="6" spans="1:63" ht="24" customHeight="1" x14ac:dyDescent="0.25">
      <c r="A6" s="1363" t="s">
        <v>1091</v>
      </c>
      <c r="B6" s="1406" t="s">
        <v>570</v>
      </c>
      <c r="C6" s="1408" t="s">
        <v>1234</v>
      </c>
      <c r="D6" s="1409" t="s">
        <v>301</v>
      </c>
      <c r="E6" s="1410"/>
      <c r="F6" s="1411"/>
      <c r="G6" s="1409" t="s">
        <v>302</v>
      </c>
      <c r="H6" s="1410"/>
      <c r="I6" s="1411"/>
      <c r="J6" s="1412" t="s">
        <v>250</v>
      </c>
      <c r="K6" s="1383" t="s">
        <v>163</v>
      </c>
      <c r="L6" s="1404" t="s">
        <v>1198</v>
      </c>
      <c r="M6" s="1316" t="s">
        <v>1028</v>
      </c>
      <c r="N6" s="1317"/>
      <c r="O6" s="1393" t="s">
        <v>1151</v>
      </c>
      <c r="P6" s="1394"/>
      <c r="Q6" s="519"/>
      <c r="R6" s="1395" t="s">
        <v>1152</v>
      </c>
      <c r="S6" s="1287" t="s">
        <v>631</v>
      </c>
      <c r="T6" s="1392" t="s">
        <v>828</v>
      </c>
      <c r="U6" s="1381"/>
      <c r="V6" s="1381"/>
      <c r="W6" s="1381"/>
      <c r="X6" s="1381"/>
      <c r="Y6" s="1346"/>
      <c r="Z6" s="400"/>
      <c r="AA6" s="1392" t="s">
        <v>851</v>
      </c>
      <c r="AB6" s="1381"/>
      <c r="AC6" s="1381"/>
      <c r="AD6" s="1381"/>
      <c r="AE6" s="1381"/>
      <c r="AF6" s="1346"/>
      <c r="AG6" s="400"/>
      <c r="AH6" s="1392" t="s">
        <v>852</v>
      </c>
      <c r="AI6" s="1381"/>
      <c r="AJ6" s="1381"/>
      <c r="AK6" s="1381"/>
      <c r="AL6" s="1381"/>
      <c r="AM6" s="1346"/>
      <c r="AN6" s="400"/>
      <c r="AO6" s="400"/>
      <c r="AP6" s="1286"/>
      <c r="AQ6" s="1286"/>
      <c r="AR6" s="1286"/>
      <c r="AS6" s="1286"/>
      <c r="AT6" s="1286"/>
      <c r="AU6" s="400"/>
      <c r="AV6" s="1345"/>
      <c r="AW6" s="1381"/>
      <c r="AX6" s="1381"/>
      <c r="AY6" s="1381"/>
      <c r="AZ6" s="1346"/>
      <c r="BA6" s="123"/>
      <c r="BB6" s="896" t="s">
        <v>1185</v>
      </c>
      <c r="BC6" s="896" t="s">
        <v>33</v>
      </c>
      <c r="BD6" s="896" t="s">
        <v>11</v>
      </c>
      <c r="BE6" s="390" t="s">
        <v>1187</v>
      </c>
      <c r="BF6" s="739"/>
      <c r="BG6" s="740"/>
      <c r="BH6" s="741"/>
      <c r="BI6" s="739"/>
      <c r="BJ6" s="739"/>
      <c r="BK6" s="739"/>
    </row>
    <row r="7" spans="1:63" s="124" customFormat="1" ht="49.5" customHeight="1" thickBot="1" x14ac:dyDescent="0.3">
      <c r="A7" s="1364"/>
      <c r="B7" s="1407"/>
      <c r="C7" s="1304"/>
      <c r="D7" s="991" t="s">
        <v>85</v>
      </c>
      <c r="E7" s="992" t="s">
        <v>11</v>
      </c>
      <c r="F7" s="990" t="s">
        <v>303</v>
      </c>
      <c r="G7" s="658" t="s">
        <v>85</v>
      </c>
      <c r="H7" s="402" t="s">
        <v>307</v>
      </c>
      <c r="I7" s="411" t="s">
        <v>305</v>
      </c>
      <c r="J7" s="1413"/>
      <c r="K7" s="1283"/>
      <c r="L7" s="1405"/>
      <c r="M7" s="581" t="s">
        <v>328</v>
      </c>
      <c r="N7" s="483" t="s">
        <v>612</v>
      </c>
      <c r="O7" s="486" t="s">
        <v>605</v>
      </c>
      <c r="P7" s="483" t="s">
        <v>612</v>
      </c>
      <c r="Q7" s="723"/>
      <c r="R7" s="1396"/>
      <c r="S7" s="1286"/>
      <c r="T7" s="745" t="s">
        <v>850</v>
      </c>
      <c r="U7" s="744" t="s">
        <v>1038</v>
      </c>
      <c r="V7" s="681" t="s">
        <v>33</v>
      </c>
      <c r="W7" s="312" t="s">
        <v>1078</v>
      </c>
      <c r="X7" s="681" t="s">
        <v>1079</v>
      </c>
      <c r="Y7" s="312" t="s">
        <v>1080</v>
      </c>
      <c r="Z7" s="519"/>
      <c r="AA7" s="745" t="s">
        <v>850</v>
      </c>
      <c r="AB7" s="744" t="s">
        <v>831</v>
      </c>
      <c r="AC7" s="681" t="s">
        <v>33</v>
      </c>
      <c r="AD7" s="312" t="s">
        <v>1078</v>
      </c>
      <c r="AE7" s="681" t="s">
        <v>1079</v>
      </c>
      <c r="AF7" s="312" t="s">
        <v>1080</v>
      </c>
      <c r="AG7" s="519"/>
      <c r="AH7" s="745" t="s">
        <v>850</v>
      </c>
      <c r="AI7" s="744" t="s">
        <v>831</v>
      </c>
      <c r="AJ7" s="681" t="s">
        <v>33</v>
      </c>
      <c r="AK7" s="312" t="s">
        <v>1078</v>
      </c>
      <c r="AL7" s="681" t="s">
        <v>1079</v>
      </c>
      <c r="AM7" s="312" t="s">
        <v>1080</v>
      </c>
      <c r="AN7" s="519"/>
      <c r="AO7" s="519"/>
      <c r="AP7" s="775" t="s">
        <v>1096</v>
      </c>
      <c r="AQ7" s="312" t="s">
        <v>1082</v>
      </c>
      <c r="AR7" s="312" t="s">
        <v>1083</v>
      </c>
      <c r="AS7" s="699" t="s">
        <v>1268</v>
      </c>
      <c r="AT7" s="312" t="s">
        <v>290</v>
      </c>
      <c r="AU7" s="519"/>
      <c r="AV7" s="780" t="s">
        <v>1096</v>
      </c>
      <c r="AW7" s="312" t="s">
        <v>1082</v>
      </c>
      <c r="AX7" s="781" t="s">
        <v>1098</v>
      </c>
      <c r="AY7" s="699" t="s">
        <v>1268</v>
      </c>
      <c r="AZ7" s="312" t="s">
        <v>290</v>
      </c>
      <c r="BA7" s="519"/>
      <c r="BB7" s="792" t="s">
        <v>31</v>
      </c>
      <c r="BC7" s="792">
        <v>0</v>
      </c>
      <c r="BD7" s="792">
        <v>0</v>
      </c>
      <c r="BE7" s="390">
        <v>0</v>
      </c>
      <c r="BF7" s="739"/>
      <c r="BG7" s="741"/>
      <c r="BH7" s="737"/>
      <c r="BI7" s="739"/>
      <c r="BJ7" s="596"/>
      <c r="BK7" s="596"/>
    </row>
    <row r="8" spans="1:63" ht="23.25" customHeight="1" x14ac:dyDescent="0.25">
      <c r="A8" s="379">
        <v>1</v>
      </c>
      <c r="B8" s="1221">
        <v>1</v>
      </c>
      <c r="C8" s="911" t="s">
        <v>31</v>
      </c>
      <c r="D8" s="406">
        <f t="shared" ref="D8:D31" si="0">VLOOKUP(C8,BB$7:BD$20,2,FALSE)</f>
        <v>0</v>
      </c>
      <c r="E8" s="605">
        <f t="shared" ref="E8:E31" si="1">VLOOKUP(C8,BB$7:BD$20,3,FALSE)</f>
        <v>0</v>
      </c>
      <c r="F8" s="407">
        <f>IF(C8="Zwischenfrucht ohne Ernte",30,IF(C8="Zwischenfrucht mit Ernte",30,D8*E8/6.25))</f>
        <v>0</v>
      </c>
      <c r="G8" s="1217">
        <v>0</v>
      </c>
      <c r="H8" s="978">
        <v>0</v>
      </c>
      <c r="I8" s="897">
        <f>IF(C8="Zwischenfrucht ohne Ernte",30,IF(C8="Zwischenfrucht mit Ernte",30,G8*H8/6.25))</f>
        <v>0</v>
      </c>
      <c r="J8" s="877">
        <v>0</v>
      </c>
      <c r="K8" s="898">
        <f>J8*I8/100</f>
        <v>0</v>
      </c>
      <c r="L8" s="1219">
        <v>0</v>
      </c>
      <c r="M8" s="586">
        <f>IF(I8-K8-L8&lt;0,0,I8-K8-L8)</f>
        <v>0</v>
      </c>
      <c r="N8" s="495">
        <f t="shared" ref="N8:N31" si="2">IF(M8&lt;0,0,M8*B8)</f>
        <v>0</v>
      </c>
      <c r="O8" s="497">
        <f t="shared" ref="O8:O31" si="3">G8*VLOOKUP(C8,BB$7:BE$18,4,FALSE)</f>
        <v>0</v>
      </c>
      <c r="P8" s="434">
        <f t="shared" ref="P8:P31" si="4">B8*O8</f>
        <v>0</v>
      </c>
      <c r="Q8" s="474"/>
      <c r="R8" s="775">
        <f>$A8</f>
        <v>1</v>
      </c>
      <c r="S8" s="775" t="str">
        <f>C8</f>
        <v>keine</v>
      </c>
      <c r="T8" s="899"/>
      <c r="U8" s="900" t="s">
        <v>841</v>
      </c>
      <c r="V8" s="978">
        <v>2.5</v>
      </c>
      <c r="W8" s="751">
        <f>VLOOKUP(U8,Düngemittel!$B$6:$E$64,2,FALSE)*(VLOOKUP(U8,Düngemittel!$B$6:$E$64,3,FALSE))/100*V8</f>
        <v>67.5</v>
      </c>
      <c r="X8" s="687">
        <f>VLOOKUP(U8,Düngemittel!$B$6:$E$64,2,FALSE)*V8</f>
        <v>67.5</v>
      </c>
      <c r="Y8" s="687">
        <f>VLOOKUP(U8,Düngemittel!$B$6:$E$64,4,FALSE)*V8</f>
        <v>0</v>
      </c>
      <c r="Z8" s="666"/>
      <c r="AA8" s="899"/>
      <c r="AB8" s="900" t="s">
        <v>805</v>
      </c>
      <c r="AC8" s="978">
        <v>0</v>
      </c>
      <c r="AD8" s="751">
        <f>VLOOKUP(AB8,Düngemittel!$B$6:$E$64,2,FALSE)*(VLOOKUP(AB8,Düngemittel!$B$6:$E$64,3,FALSE))/100*AC8</f>
        <v>0</v>
      </c>
      <c r="AE8" s="687">
        <f>VLOOKUP(AB8,Düngemittel!$B$6:$E$64,2,FALSE)*AC8</f>
        <v>0</v>
      </c>
      <c r="AF8" s="687">
        <f>VLOOKUP(AB8,Düngemittel!$B$6:$E$64,4,FALSE)*AC8</f>
        <v>0</v>
      </c>
      <c r="AG8" s="666"/>
      <c r="AH8" s="899"/>
      <c r="AI8" s="900" t="s">
        <v>805</v>
      </c>
      <c r="AJ8" s="978">
        <v>0</v>
      </c>
      <c r="AK8" s="751">
        <f>VLOOKUP(AI8,Düngemittel!$B$6:$E$64,2,FALSE)*(VLOOKUP(AI8,Düngemittel!$B$6:$E$64,3,FALSE))/100*AJ8</f>
        <v>0</v>
      </c>
      <c r="AL8" s="687">
        <f>VLOOKUP(AI8,Düngemittel!$B$6:$E$64,2,FALSE)*AJ8</f>
        <v>0</v>
      </c>
      <c r="AM8" s="687">
        <f>VLOOKUP(AI8,Düngemittel!$B$6:$E$64,4,FALSE)*AJ8</f>
        <v>0</v>
      </c>
      <c r="AN8" s="666"/>
      <c r="AO8" s="666"/>
      <c r="AP8" s="853">
        <f>IF(W8&lt;X8,0,W8)+IF(AD8&lt;AE8,0,AD8)+IF(AK8&lt;AL8,0,AK8)</f>
        <v>67.5</v>
      </c>
      <c r="AQ8" s="308">
        <f>SUM(W8+AD8+AK8)</f>
        <v>67.5</v>
      </c>
      <c r="AR8" s="853">
        <f>SUM(X8+AE8+AL8)</f>
        <v>67.5</v>
      </c>
      <c r="AS8" s="777">
        <f>IF(W8&lt;X8,X8,0)+IF(AD8&lt;AE8,AE8,0)+IF(AK8&lt;AL8,AL8,0)</f>
        <v>0</v>
      </c>
      <c r="AT8" s="308">
        <f>SUM(Y8+AF8+AM8)</f>
        <v>0</v>
      </c>
      <c r="AU8" s="785"/>
      <c r="AV8" s="853">
        <f>AP8*$B8</f>
        <v>67.5</v>
      </c>
      <c r="AW8" s="853">
        <f t="shared" ref="AW8:AZ8" si="5">AQ8*$B8</f>
        <v>67.5</v>
      </c>
      <c r="AX8" s="853">
        <f t="shared" si="5"/>
        <v>67.5</v>
      </c>
      <c r="AY8" s="853">
        <f t="shared" si="5"/>
        <v>0</v>
      </c>
      <c r="AZ8" s="853">
        <f t="shared" si="5"/>
        <v>0</v>
      </c>
      <c r="BA8" s="16"/>
      <c r="BB8" s="391" t="s">
        <v>1193</v>
      </c>
      <c r="BC8" s="390">
        <v>40</v>
      </c>
      <c r="BD8" s="390">
        <v>16.600000000000001</v>
      </c>
      <c r="BE8" s="393">
        <v>0.8</v>
      </c>
      <c r="BF8" s="739"/>
      <c r="BG8" s="740"/>
      <c r="BH8" s="737"/>
      <c r="BI8" s="739"/>
      <c r="BJ8" s="739"/>
      <c r="BK8" s="739"/>
    </row>
    <row r="9" spans="1:63" ht="23.25" customHeight="1" x14ac:dyDescent="0.25">
      <c r="A9" s="342" t="s">
        <v>575</v>
      </c>
      <c r="B9" s="1222">
        <v>0</v>
      </c>
      <c r="C9" s="912" t="s">
        <v>31</v>
      </c>
      <c r="D9" s="408">
        <f t="shared" si="0"/>
        <v>0</v>
      </c>
      <c r="E9" s="606">
        <f t="shared" si="1"/>
        <v>0</v>
      </c>
      <c r="F9" s="409">
        <f t="shared" ref="F9:F31" si="6">IF(C9="Zwischenfrucht ohne Ernte",30,IF(C9="Zwischenfrucht mit Ernte",30,D9*E9/6.25))</f>
        <v>0</v>
      </c>
      <c r="G9" s="1218">
        <v>0</v>
      </c>
      <c r="H9" s="906">
        <v>0</v>
      </c>
      <c r="I9" s="897">
        <f t="shared" ref="I9:I31" si="7">IF(C9="Zwischenfrucht ohne Ernte",30,IF(C9="Zwischenfrucht mit Ernte",30,G9*H9/6.25))</f>
        <v>0</v>
      </c>
      <c r="J9" s="433">
        <v>0</v>
      </c>
      <c r="K9" s="606">
        <f t="shared" ref="K9:K31" si="8">J9*I9/100</f>
        <v>0</v>
      </c>
      <c r="L9" s="1220">
        <v>0</v>
      </c>
      <c r="M9" s="587">
        <f t="shared" ref="M9:M31" si="9">IF(I9-K9-L9&lt;0,0,I9-K9-L9)</f>
        <v>0</v>
      </c>
      <c r="N9" s="435">
        <f t="shared" si="2"/>
        <v>0</v>
      </c>
      <c r="O9" s="498">
        <f t="shared" si="3"/>
        <v>0</v>
      </c>
      <c r="P9" s="495">
        <f t="shared" si="4"/>
        <v>0</v>
      </c>
      <c r="Q9" s="474"/>
      <c r="R9" s="775" t="str">
        <f t="shared" ref="R9:R31" si="10">A9</f>
        <v>Schlag 2</v>
      </c>
      <c r="S9" s="775" t="str">
        <f t="shared" ref="S9:S31" si="11">C9</f>
        <v>keine</v>
      </c>
      <c r="T9" s="886"/>
      <c r="U9" s="900" t="s">
        <v>805</v>
      </c>
      <c r="V9" s="906">
        <v>0</v>
      </c>
      <c r="W9" s="751">
        <f>VLOOKUP(U9,Düngemittel!$B$6:$E$64,2,FALSE)*(VLOOKUP(U9,Düngemittel!$B$6:$E$64,3,FALSE))/100*V9</f>
        <v>0</v>
      </c>
      <c r="X9" s="687">
        <f>VLOOKUP(U9,Düngemittel!$B$6:$E$64,2,FALSE)*V9</f>
        <v>0</v>
      </c>
      <c r="Y9" s="687">
        <f>VLOOKUP(U9,Düngemittel!$B$6:$E$64,4,FALSE)*V9</f>
        <v>0</v>
      </c>
      <c r="Z9" s="666"/>
      <c r="AA9" s="899"/>
      <c r="AB9" s="900" t="s">
        <v>805</v>
      </c>
      <c r="AC9" s="978">
        <v>0</v>
      </c>
      <c r="AD9" s="751">
        <f>VLOOKUP(AB9,Düngemittel!$B$6:$E$64,2,FALSE)*(VLOOKUP(AB9,Düngemittel!$B$6:$E$64,3,FALSE))/100*AC9</f>
        <v>0</v>
      </c>
      <c r="AE9" s="687">
        <f>VLOOKUP(AB9,Düngemittel!$B$6:$E$64,2,FALSE)*AC9</f>
        <v>0</v>
      </c>
      <c r="AF9" s="687">
        <f>VLOOKUP(AB9,Düngemittel!$B$6:$E$64,4,FALSE)*AC9</f>
        <v>0</v>
      </c>
      <c r="AG9" s="666"/>
      <c r="AH9" s="899"/>
      <c r="AI9" s="900" t="s">
        <v>805</v>
      </c>
      <c r="AJ9" s="978">
        <v>0</v>
      </c>
      <c r="AK9" s="751">
        <f>VLOOKUP(AI9,Düngemittel!$B$6:$E$64,2,FALSE)*(VLOOKUP(AI9,Düngemittel!$B$6:$E$64,3,FALSE))/100*AJ9</f>
        <v>0</v>
      </c>
      <c r="AL9" s="687">
        <f>VLOOKUP(AI9,Düngemittel!$B$6:$E$64,2,FALSE)*AJ9</f>
        <v>0</v>
      </c>
      <c r="AM9" s="687">
        <f>VLOOKUP(AI9,Düngemittel!$B$6:$E$64,4,FALSE)*AJ9</f>
        <v>0</v>
      </c>
      <c r="AN9" s="666"/>
      <c r="AO9" s="666"/>
      <c r="AP9" s="853">
        <f t="shared" ref="AP9:AP31" si="12">IF(W9&lt;X9,0,W9)+IF(AD9&lt;AE9,0,AD9)+IF(AK9&lt;AL9,0,AK9)</f>
        <v>0</v>
      </c>
      <c r="AQ9" s="308">
        <f t="shared" ref="AQ9:AQ31" si="13">SUM(W9+AD9+AK9)</f>
        <v>0</v>
      </c>
      <c r="AR9" s="853">
        <f t="shared" ref="AR9:AR31" si="14">SUM(X9+AE9+AL9)</f>
        <v>0</v>
      </c>
      <c r="AS9" s="777">
        <f t="shared" ref="AS9:AS31" si="15">IF(W9&lt;X9,X9,0)+IF(AD9&lt;AE9,AE9,0)+IF(AK9&lt;AL9,AL9,0)</f>
        <v>0</v>
      </c>
      <c r="AT9" s="308">
        <f t="shared" ref="AT9:AT31" si="16">SUM(Y9+AF9+AM9)</f>
        <v>0</v>
      </c>
      <c r="AU9" s="785"/>
      <c r="AV9" s="853">
        <f t="shared" ref="AV9:AV31" si="17">AP9*$B9</f>
        <v>0</v>
      </c>
      <c r="AW9" s="853">
        <f t="shared" ref="AW9:AW31" si="18">AQ9*$B9</f>
        <v>0</v>
      </c>
      <c r="AX9" s="853">
        <f t="shared" ref="AX9:AX31" si="19">AR9*$B9</f>
        <v>0</v>
      </c>
      <c r="AY9" s="853">
        <f t="shared" ref="AY9:AY31" si="20">AS9*$B9</f>
        <v>0</v>
      </c>
      <c r="AZ9" s="853">
        <f t="shared" ref="AZ9:AZ31" si="21">AT9*$B9</f>
        <v>0</v>
      </c>
      <c r="BA9" s="16"/>
      <c r="BB9" s="391" t="s">
        <v>1194</v>
      </c>
      <c r="BC9" s="390">
        <v>40</v>
      </c>
      <c r="BD9" s="390">
        <v>18.2</v>
      </c>
      <c r="BE9" s="390">
        <v>0.75</v>
      </c>
      <c r="BF9" s="739"/>
      <c r="BG9" s="740"/>
      <c r="BH9" s="737"/>
      <c r="BI9" s="739"/>
      <c r="BJ9" s="739"/>
      <c r="BK9" s="739"/>
    </row>
    <row r="10" spans="1:63" ht="23.25" customHeight="1" x14ac:dyDescent="0.25">
      <c r="A10" s="342" t="s">
        <v>572</v>
      </c>
      <c r="B10" s="1222">
        <v>0</v>
      </c>
      <c r="C10" s="645" t="s">
        <v>31</v>
      </c>
      <c r="D10" s="408">
        <f t="shared" si="0"/>
        <v>0</v>
      </c>
      <c r="E10" s="606">
        <f t="shared" si="1"/>
        <v>0</v>
      </c>
      <c r="F10" s="409">
        <f t="shared" si="6"/>
        <v>0</v>
      </c>
      <c r="G10" s="1218">
        <v>0</v>
      </c>
      <c r="H10" s="906">
        <v>0</v>
      </c>
      <c r="I10" s="897">
        <f t="shared" si="7"/>
        <v>0</v>
      </c>
      <c r="J10" s="433">
        <v>0</v>
      </c>
      <c r="K10" s="606">
        <f t="shared" si="8"/>
        <v>0</v>
      </c>
      <c r="L10" s="1220">
        <v>0</v>
      </c>
      <c r="M10" s="587">
        <f t="shared" si="9"/>
        <v>0</v>
      </c>
      <c r="N10" s="435">
        <f t="shared" si="2"/>
        <v>0</v>
      </c>
      <c r="O10" s="499">
        <f t="shared" si="3"/>
        <v>0</v>
      </c>
      <c r="P10" s="435">
        <f t="shared" si="4"/>
        <v>0</v>
      </c>
      <c r="Q10" s="474"/>
      <c r="R10" s="775" t="str">
        <f t="shared" si="10"/>
        <v>Fläche 3</v>
      </c>
      <c r="S10" s="775" t="str">
        <f t="shared" si="11"/>
        <v>keine</v>
      </c>
      <c r="T10" s="886"/>
      <c r="U10" s="900" t="s">
        <v>805</v>
      </c>
      <c r="V10" s="906">
        <v>0</v>
      </c>
      <c r="W10" s="751">
        <f>VLOOKUP(U10,Düngemittel!$B$6:$E$64,2,FALSE)*(VLOOKUP(U10,Düngemittel!$B$6:$E$64,3,FALSE))/100*V10</f>
        <v>0</v>
      </c>
      <c r="X10" s="687">
        <f>VLOOKUP(U10,Düngemittel!$B$6:$E$64,2,FALSE)*V10</f>
        <v>0</v>
      </c>
      <c r="Y10" s="687">
        <f>VLOOKUP(U10,Düngemittel!$B$6:$E$64,4,FALSE)*V10</f>
        <v>0</v>
      </c>
      <c r="Z10" s="666"/>
      <c r="AA10" s="899"/>
      <c r="AB10" s="900" t="s">
        <v>805</v>
      </c>
      <c r="AC10" s="978">
        <v>0</v>
      </c>
      <c r="AD10" s="751">
        <f>VLOOKUP(AB10,Düngemittel!$B$6:$E$64,2,FALSE)*(VLOOKUP(AB10,Düngemittel!$B$6:$E$64,3,FALSE))/100*AC10</f>
        <v>0</v>
      </c>
      <c r="AE10" s="687">
        <f>VLOOKUP(AB10,Düngemittel!$B$6:$E$64,2,FALSE)*AC10</f>
        <v>0</v>
      </c>
      <c r="AF10" s="687">
        <f>VLOOKUP(AB10,Düngemittel!$B$6:$E$64,4,FALSE)*AC10</f>
        <v>0</v>
      </c>
      <c r="AG10" s="666"/>
      <c r="AH10" s="899"/>
      <c r="AI10" s="900" t="s">
        <v>805</v>
      </c>
      <c r="AJ10" s="978">
        <v>0</v>
      </c>
      <c r="AK10" s="751">
        <f>VLOOKUP(AI10,Düngemittel!$B$6:$E$64,2,FALSE)*(VLOOKUP(AI10,Düngemittel!$B$6:$E$64,3,FALSE))/100*AJ10</f>
        <v>0</v>
      </c>
      <c r="AL10" s="687">
        <f>VLOOKUP(AI10,Düngemittel!$B$6:$E$64,2,FALSE)*AJ10</f>
        <v>0</v>
      </c>
      <c r="AM10" s="687">
        <f>VLOOKUP(AI10,Düngemittel!$B$6:$E$64,4,FALSE)*AJ10</f>
        <v>0</v>
      </c>
      <c r="AN10" s="666"/>
      <c r="AO10" s="666"/>
      <c r="AP10" s="853">
        <f t="shared" si="12"/>
        <v>0</v>
      </c>
      <c r="AQ10" s="308">
        <f t="shared" si="13"/>
        <v>0</v>
      </c>
      <c r="AR10" s="853">
        <f t="shared" si="14"/>
        <v>0</v>
      </c>
      <c r="AS10" s="777">
        <f t="shared" si="15"/>
        <v>0</v>
      </c>
      <c r="AT10" s="308">
        <f t="shared" si="16"/>
        <v>0</v>
      </c>
      <c r="AU10" s="785"/>
      <c r="AV10" s="853">
        <f t="shared" si="17"/>
        <v>0</v>
      </c>
      <c r="AW10" s="853">
        <f t="shared" si="18"/>
        <v>0</v>
      </c>
      <c r="AX10" s="853">
        <f t="shared" si="19"/>
        <v>0</v>
      </c>
      <c r="AY10" s="853">
        <f t="shared" si="20"/>
        <v>0</v>
      </c>
      <c r="AZ10" s="853">
        <f t="shared" si="21"/>
        <v>0</v>
      </c>
      <c r="BA10" s="16"/>
      <c r="BB10" s="391" t="s">
        <v>1195</v>
      </c>
      <c r="BC10" s="390">
        <v>40</v>
      </c>
      <c r="BD10" s="390">
        <v>20.5</v>
      </c>
      <c r="BE10" s="390">
        <v>0.7</v>
      </c>
      <c r="BF10" s="739"/>
      <c r="BG10" s="740"/>
      <c r="BH10" s="737"/>
      <c r="BI10" s="739"/>
      <c r="BJ10" s="739"/>
      <c r="BK10" s="739"/>
    </row>
    <row r="11" spans="1:63" ht="23.25" customHeight="1" x14ac:dyDescent="0.25">
      <c r="A11" s="342">
        <v>4</v>
      </c>
      <c r="B11" s="1222">
        <v>0</v>
      </c>
      <c r="C11" s="632" t="s">
        <v>31</v>
      </c>
      <c r="D11" s="408">
        <f t="shared" si="0"/>
        <v>0</v>
      </c>
      <c r="E11" s="606">
        <f t="shared" si="1"/>
        <v>0</v>
      </c>
      <c r="F11" s="409">
        <f t="shared" si="6"/>
        <v>0</v>
      </c>
      <c r="G11" s="1218">
        <v>0</v>
      </c>
      <c r="H11" s="906">
        <v>0</v>
      </c>
      <c r="I11" s="897">
        <f t="shared" si="7"/>
        <v>0</v>
      </c>
      <c r="J11" s="433">
        <v>0</v>
      </c>
      <c r="K11" s="606">
        <f t="shared" si="8"/>
        <v>0</v>
      </c>
      <c r="L11" s="1220">
        <v>0</v>
      </c>
      <c r="M11" s="587">
        <f t="shared" si="9"/>
        <v>0</v>
      </c>
      <c r="N11" s="435">
        <f t="shared" si="2"/>
        <v>0</v>
      </c>
      <c r="O11" s="499">
        <f t="shared" si="3"/>
        <v>0</v>
      </c>
      <c r="P11" s="435">
        <f t="shared" si="4"/>
        <v>0</v>
      </c>
      <c r="Q11" s="474"/>
      <c r="R11" s="775">
        <f t="shared" si="10"/>
        <v>4</v>
      </c>
      <c r="S11" s="775" t="str">
        <f t="shared" si="11"/>
        <v>keine</v>
      </c>
      <c r="T11" s="901"/>
      <c r="U11" s="900" t="s">
        <v>805</v>
      </c>
      <c r="V11" s="324">
        <v>0</v>
      </c>
      <c r="W11" s="751">
        <f>VLOOKUP(U11,Düngemittel!$B$6:$E$64,2,FALSE)*(VLOOKUP(U11,Düngemittel!$B$6:$E$64,3,FALSE))/100*V11</f>
        <v>0</v>
      </c>
      <c r="X11" s="687">
        <f>VLOOKUP(U11,Düngemittel!$B$6:$E$64,2,FALSE)*V11</f>
        <v>0</v>
      </c>
      <c r="Y11" s="687">
        <f>VLOOKUP(U11,Düngemittel!$B$6:$E$64,4,FALSE)*V11</f>
        <v>0</v>
      </c>
      <c r="Z11" s="666"/>
      <c r="AA11" s="899"/>
      <c r="AB11" s="900" t="s">
        <v>805</v>
      </c>
      <c r="AC11" s="978">
        <v>0</v>
      </c>
      <c r="AD11" s="751">
        <f>VLOOKUP(AB11,Düngemittel!$B$6:$E$64,2,FALSE)*(VLOOKUP(AB11,Düngemittel!$B$6:$E$64,3,FALSE))/100*AC11</f>
        <v>0</v>
      </c>
      <c r="AE11" s="687">
        <f>VLOOKUP(AB11,Düngemittel!$B$6:$E$64,2,FALSE)*AC11</f>
        <v>0</v>
      </c>
      <c r="AF11" s="687">
        <f>VLOOKUP(AB11,Düngemittel!$B$6:$E$64,4,FALSE)*AC11</f>
        <v>0</v>
      </c>
      <c r="AG11" s="666"/>
      <c r="AH11" s="899"/>
      <c r="AI11" s="900" t="s">
        <v>805</v>
      </c>
      <c r="AJ11" s="978">
        <v>0</v>
      </c>
      <c r="AK11" s="751">
        <f>VLOOKUP(AI11,Düngemittel!$B$6:$E$64,2,FALSE)*(VLOOKUP(AI11,Düngemittel!$B$6:$E$64,3,FALSE))/100*AJ11</f>
        <v>0</v>
      </c>
      <c r="AL11" s="687">
        <f>VLOOKUP(AI11,Düngemittel!$B$6:$E$64,2,FALSE)*AJ11</f>
        <v>0</v>
      </c>
      <c r="AM11" s="687">
        <f>VLOOKUP(AI11,Düngemittel!$B$6:$E$64,4,FALSE)*AJ11</f>
        <v>0</v>
      </c>
      <c r="AN11" s="666"/>
      <c r="AO11" s="666"/>
      <c r="AP11" s="853">
        <f t="shared" si="12"/>
        <v>0</v>
      </c>
      <c r="AQ11" s="308">
        <f t="shared" si="13"/>
        <v>0</v>
      </c>
      <c r="AR11" s="853">
        <f t="shared" si="14"/>
        <v>0</v>
      </c>
      <c r="AS11" s="777">
        <f t="shared" si="15"/>
        <v>0</v>
      </c>
      <c r="AT11" s="308">
        <f t="shared" si="16"/>
        <v>0</v>
      </c>
      <c r="AU11" s="785"/>
      <c r="AV11" s="853">
        <f t="shared" si="17"/>
        <v>0</v>
      </c>
      <c r="AW11" s="853">
        <f t="shared" si="18"/>
        <v>0</v>
      </c>
      <c r="AX11" s="853">
        <f t="shared" si="19"/>
        <v>0</v>
      </c>
      <c r="AY11" s="853">
        <f t="shared" si="20"/>
        <v>0</v>
      </c>
      <c r="AZ11" s="853">
        <f t="shared" si="21"/>
        <v>0</v>
      </c>
      <c r="BA11" s="16"/>
      <c r="BB11" s="391" t="s">
        <v>1191</v>
      </c>
      <c r="BC11" s="390">
        <v>90</v>
      </c>
      <c r="BD11" s="390">
        <v>7</v>
      </c>
      <c r="BE11" s="390">
        <v>0.51</v>
      </c>
      <c r="BF11" s="739"/>
      <c r="BG11" s="740"/>
      <c r="BH11" s="737"/>
      <c r="BI11" s="739"/>
      <c r="BJ11" s="739"/>
      <c r="BK11" s="739"/>
    </row>
    <row r="12" spans="1:63" ht="23.25" customHeight="1" x14ac:dyDescent="0.25">
      <c r="A12" s="342">
        <v>5</v>
      </c>
      <c r="B12" s="1222">
        <v>0</v>
      </c>
      <c r="C12" s="632" t="s">
        <v>31</v>
      </c>
      <c r="D12" s="408">
        <f t="shared" si="0"/>
        <v>0</v>
      </c>
      <c r="E12" s="606">
        <f t="shared" si="1"/>
        <v>0</v>
      </c>
      <c r="F12" s="409">
        <f t="shared" si="6"/>
        <v>0</v>
      </c>
      <c r="G12" s="1218">
        <v>0</v>
      </c>
      <c r="H12" s="906">
        <v>0</v>
      </c>
      <c r="I12" s="897">
        <f t="shared" si="7"/>
        <v>0</v>
      </c>
      <c r="J12" s="433">
        <v>0</v>
      </c>
      <c r="K12" s="606">
        <f t="shared" si="8"/>
        <v>0</v>
      </c>
      <c r="L12" s="1220">
        <v>0</v>
      </c>
      <c r="M12" s="587">
        <f t="shared" si="9"/>
        <v>0</v>
      </c>
      <c r="N12" s="435">
        <f t="shared" si="2"/>
        <v>0</v>
      </c>
      <c r="O12" s="499">
        <f t="shared" si="3"/>
        <v>0</v>
      </c>
      <c r="P12" s="435">
        <f t="shared" si="4"/>
        <v>0</v>
      </c>
      <c r="Q12" s="474"/>
      <c r="R12" s="775">
        <f t="shared" si="10"/>
        <v>5</v>
      </c>
      <c r="S12" s="775" t="str">
        <f t="shared" si="11"/>
        <v>keine</v>
      </c>
      <c r="T12" s="901"/>
      <c r="U12" s="900" t="s">
        <v>805</v>
      </c>
      <c r="V12" s="324">
        <v>0</v>
      </c>
      <c r="W12" s="751">
        <f>VLOOKUP(U12,Düngemittel!$B$6:$E$64,2,FALSE)*(VLOOKUP(U12,Düngemittel!$B$6:$E$64,3,FALSE))/100*V12</f>
        <v>0</v>
      </c>
      <c r="X12" s="687">
        <f>VLOOKUP(U12,Düngemittel!$B$6:$E$64,2,FALSE)*V12</f>
        <v>0</v>
      </c>
      <c r="Y12" s="687">
        <f>VLOOKUP(U12,Düngemittel!$B$6:$E$64,4,FALSE)*V12</f>
        <v>0</v>
      </c>
      <c r="Z12" s="666"/>
      <c r="AA12" s="899"/>
      <c r="AB12" s="900" t="s">
        <v>805</v>
      </c>
      <c r="AC12" s="978">
        <v>0</v>
      </c>
      <c r="AD12" s="751">
        <f>VLOOKUP(AB12,Düngemittel!$B$6:$E$64,2,FALSE)*(VLOOKUP(AB12,Düngemittel!$B$6:$E$64,3,FALSE))/100*AC12</f>
        <v>0</v>
      </c>
      <c r="AE12" s="687">
        <f>VLOOKUP(AB12,Düngemittel!$B$6:$E$64,2,FALSE)*AC12</f>
        <v>0</v>
      </c>
      <c r="AF12" s="687">
        <f>VLOOKUP(AB12,Düngemittel!$B$6:$E$64,4,FALSE)*AC12</f>
        <v>0</v>
      </c>
      <c r="AG12" s="666"/>
      <c r="AH12" s="899"/>
      <c r="AI12" s="900" t="s">
        <v>805</v>
      </c>
      <c r="AJ12" s="978">
        <v>0</v>
      </c>
      <c r="AK12" s="751">
        <f>VLOOKUP(AI12,Düngemittel!$B$6:$E$64,2,FALSE)*(VLOOKUP(AI12,Düngemittel!$B$6:$E$64,3,FALSE))/100*AJ12</f>
        <v>0</v>
      </c>
      <c r="AL12" s="687">
        <f>VLOOKUP(AI12,Düngemittel!$B$6:$E$64,2,FALSE)*AJ12</f>
        <v>0</v>
      </c>
      <c r="AM12" s="687">
        <f>VLOOKUP(AI12,Düngemittel!$B$6:$E$64,4,FALSE)*AJ12</f>
        <v>0</v>
      </c>
      <c r="AN12" s="666"/>
      <c r="AO12" s="666"/>
      <c r="AP12" s="853">
        <f t="shared" si="12"/>
        <v>0</v>
      </c>
      <c r="AQ12" s="308">
        <f t="shared" si="13"/>
        <v>0</v>
      </c>
      <c r="AR12" s="853">
        <f t="shared" si="14"/>
        <v>0</v>
      </c>
      <c r="AS12" s="777">
        <f t="shared" si="15"/>
        <v>0</v>
      </c>
      <c r="AT12" s="308">
        <f t="shared" si="16"/>
        <v>0</v>
      </c>
      <c r="AU12" s="785"/>
      <c r="AV12" s="853">
        <f t="shared" si="17"/>
        <v>0</v>
      </c>
      <c r="AW12" s="853">
        <f t="shared" si="18"/>
        <v>0</v>
      </c>
      <c r="AX12" s="853">
        <f t="shared" si="19"/>
        <v>0</v>
      </c>
      <c r="AY12" s="853">
        <f t="shared" si="20"/>
        <v>0</v>
      </c>
      <c r="AZ12" s="853">
        <f t="shared" si="21"/>
        <v>0</v>
      </c>
      <c r="BA12" s="16"/>
      <c r="BB12" s="80" t="s">
        <v>1192</v>
      </c>
      <c r="BC12" s="80">
        <v>90</v>
      </c>
      <c r="BD12" s="80">
        <v>7</v>
      </c>
      <c r="BE12" s="80">
        <v>0.51</v>
      </c>
      <c r="BF12" s="739"/>
      <c r="BG12" s="740"/>
      <c r="BH12" s="737"/>
      <c r="BI12" s="739"/>
      <c r="BJ12" s="739"/>
      <c r="BK12" s="739"/>
    </row>
    <row r="13" spans="1:63" ht="23.25" customHeight="1" x14ac:dyDescent="0.25">
      <c r="A13" s="342">
        <v>6</v>
      </c>
      <c r="B13" s="1222">
        <v>0</v>
      </c>
      <c r="C13" s="632" t="s">
        <v>31</v>
      </c>
      <c r="D13" s="408">
        <f t="shared" si="0"/>
        <v>0</v>
      </c>
      <c r="E13" s="606">
        <f t="shared" si="1"/>
        <v>0</v>
      </c>
      <c r="F13" s="409">
        <f t="shared" si="6"/>
        <v>0</v>
      </c>
      <c r="G13" s="1218">
        <v>0</v>
      </c>
      <c r="H13" s="906">
        <v>0</v>
      </c>
      <c r="I13" s="897">
        <f t="shared" si="7"/>
        <v>0</v>
      </c>
      <c r="J13" s="433">
        <v>0</v>
      </c>
      <c r="K13" s="606">
        <f t="shared" si="8"/>
        <v>0</v>
      </c>
      <c r="L13" s="1220">
        <v>0</v>
      </c>
      <c r="M13" s="587">
        <f t="shared" si="9"/>
        <v>0</v>
      </c>
      <c r="N13" s="435">
        <f t="shared" si="2"/>
        <v>0</v>
      </c>
      <c r="O13" s="499">
        <f t="shared" si="3"/>
        <v>0</v>
      </c>
      <c r="P13" s="435">
        <f t="shared" si="4"/>
        <v>0</v>
      </c>
      <c r="Q13" s="474"/>
      <c r="R13" s="775">
        <f t="shared" si="10"/>
        <v>6</v>
      </c>
      <c r="S13" s="775" t="str">
        <f t="shared" si="11"/>
        <v>keine</v>
      </c>
      <c r="T13" s="901"/>
      <c r="U13" s="900" t="s">
        <v>805</v>
      </c>
      <c r="V13" s="324">
        <v>0</v>
      </c>
      <c r="W13" s="751">
        <f>VLOOKUP(U13,Düngemittel!$B$6:$E$64,2,FALSE)*(VLOOKUP(U13,Düngemittel!$B$6:$E$64,3,FALSE))/100*V13</f>
        <v>0</v>
      </c>
      <c r="X13" s="687">
        <f>VLOOKUP(U13,Düngemittel!$B$6:$E$64,2,FALSE)*V13</f>
        <v>0</v>
      </c>
      <c r="Y13" s="687">
        <f>VLOOKUP(U13,Düngemittel!$B$6:$E$64,4,FALSE)*V13</f>
        <v>0</v>
      </c>
      <c r="Z13" s="666"/>
      <c r="AA13" s="899"/>
      <c r="AB13" s="900" t="s">
        <v>805</v>
      </c>
      <c r="AC13" s="978">
        <v>0</v>
      </c>
      <c r="AD13" s="751">
        <f>VLOOKUP(AB13,Düngemittel!$B$6:$E$64,2,FALSE)*(VLOOKUP(AB13,Düngemittel!$B$6:$E$64,3,FALSE))/100*AC13</f>
        <v>0</v>
      </c>
      <c r="AE13" s="687">
        <f>VLOOKUP(AB13,Düngemittel!$B$6:$E$64,2,FALSE)*AC13</f>
        <v>0</v>
      </c>
      <c r="AF13" s="687">
        <f>VLOOKUP(AB13,Düngemittel!$B$6:$E$64,4,FALSE)*AC13</f>
        <v>0</v>
      </c>
      <c r="AG13" s="666"/>
      <c r="AH13" s="899"/>
      <c r="AI13" s="900" t="s">
        <v>805</v>
      </c>
      <c r="AJ13" s="978">
        <v>0</v>
      </c>
      <c r="AK13" s="751">
        <f>VLOOKUP(AI13,Düngemittel!$B$6:$E$64,2,FALSE)*(VLOOKUP(AI13,Düngemittel!$B$6:$E$64,3,FALSE))/100*AJ13</f>
        <v>0</v>
      </c>
      <c r="AL13" s="687">
        <f>VLOOKUP(AI13,Düngemittel!$B$6:$E$64,2,FALSE)*AJ13</f>
        <v>0</v>
      </c>
      <c r="AM13" s="687">
        <f>VLOOKUP(AI13,Düngemittel!$B$6:$E$64,4,FALSE)*AJ13</f>
        <v>0</v>
      </c>
      <c r="AN13" s="666"/>
      <c r="AO13" s="666"/>
      <c r="AP13" s="853">
        <f t="shared" si="12"/>
        <v>0</v>
      </c>
      <c r="AQ13" s="308">
        <f t="shared" si="13"/>
        <v>0</v>
      </c>
      <c r="AR13" s="853">
        <f t="shared" si="14"/>
        <v>0</v>
      </c>
      <c r="AS13" s="777">
        <f t="shared" si="15"/>
        <v>0</v>
      </c>
      <c r="AT13" s="308">
        <f t="shared" si="16"/>
        <v>0</v>
      </c>
      <c r="AU13" s="785"/>
      <c r="AV13" s="853">
        <f t="shared" si="17"/>
        <v>0</v>
      </c>
      <c r="AW13" s="853">
        <f t="shared" si="18"/>
        <v>0</v>
      </c>
      <c r="AX13" s="853">
        <f t="shared" si="19"/>
        <v>0</v>
      </c>
      <c r="AY13" s="853">
        <f t="shared" si="20"/>
        <v>0</v>
      </c>
      <c r="AZ13" s="853">
        <f t="shared" si="21"/>
        <v>0</v>
      </c>
      <c r="BA13" s="16"/>
      <c r="BB13" s="390" t="s">
        <v>1196</v>
      </c>
      <c r="BC13" s="390">
        <v>45</v>
      </c>
      <c r="BD13" s="390">
        <v>15</v>
      </c>
      <c r="BE13" s="390">
        <v>0.8</v>
      </c>
      <c r="BF13" s="739"/>
      <c r="BG13" s="740"/>
      <c r="BH13" s="742"/>
      <c r="BI13" s="739"/>
      <c r="BJ13" s="739"/>
      <c r="BK13" s="739"/>
    </row>
    <row r="14" spans="1:63" ht="23.25" customHeight="1" x14ac:dyDescent="0.25">
      <c r="A14" s="342">
        <v>7</v>
      </c>
      <c r="B14" s="1222">
        <v>0</v>
      </c>
      <c r="C14" s="632" t="s">
        <v>31</v>
      </c>
      <c r="D14" s="408">
        <f t="shared" si="0"/>
        <v>0</v>
      </c>
      <c r="E14" s="606">
        <f t="shared" si="1"/>
        <v>0</v>
      </c>
      <c r="F14" s="409">
        <f t="shared" si="6"/>
        <v>0</v>
      </c>
      <c r="G14" s="1218">
        <v>0</v>
      </c>
      <c r="H14" s="906">
        <v>0</v>
      </c>
      <c r="I14" s="897">
        <f t="shared" si="7"/>
        <v>0</v>
      </c>
      <c r="J14" s="433">
        <v>0</v>
      </c>
      <c r="K14" s="606">
        <f t="shared" si="8"/>
        <v>0</v>
      </c>
      <c r="L14" s="1220">
        <v>0</v>
      </c>
      <c r="M14" s="587">
        <f t="shared" si="9"/>
        <v>0</v>
      </c>
      <c r="N14" s="435">
        <f t="shared" si="2"/>
        <v>0</v>
      </c>
      <c r="O14" s="499">
        <f t="shared" si="3"/>
        <v>0</v>
      </c>
      <c r="P14" s="435">
        <f t="shared" si="4"/>
        <v>0</v>
      </c>
      <c r="Q14" s="474"/>
      <c r="R14" s="775">
        <f t="shared" si="10"/>
        <v>7</v>
      </c>
      <c r="S14" s="775" t="str">
        <f t="shared" si="11"/>
        <v>keine</v>
      </c>
      <c r="T14" s="901"/>
      <c r="U14" s="900" t="s">
        <v>805</v>
      </c>
      <c r="V14" s="324">
        <v>0</v>
      </c>
      <c r="W14" s="751">
        <f>VLOOKUP(U14,Düngemittel!$B$6:$E$64,2,FALSE)*(VLOOKUP(U14,Düngemittel!$B$6:$E$64,3,FALSE))/100*V14</f>
        <v>0</v>
      </c>
      <c r="X14" s="687">
        <f>VLOOKUP(U14,Düngemittel!$B$6:$E$64,2,FALSE)*V14</f>
        <v>0</v>
      </c>
      <c r="Y14" s="687">
        <f>VLOOKUP(U14,Düngemittel!$B$6:$E$64,4,FALSE)*V14</f>
        <v>0</v>
      </c>
      <c r="Z14" s="666"/>
      <c r="AA14" s="899"/>
      <c r="AB14" s="900" t="s">
        <v>805</v>
      </c>
      <c r="AC14" s="978">
        <v>0</v>
      </c>
      <c r="AD14" s="751">
        <f>VLOOKUP(AB14,Düngemittel!$B$6:$E$64,2,FALSE)*(VLOOKUP(AB14,Düngemittel!$B$6:$E$64,3,FALSE))/100*AC14</f>
        <v>0</v>
      </c>
      <c r="AE14" s="687">
        <f>VLOOKUP(AB14,Düngemittel!$B$6:$E$64,2,FALSE)*AC14</f>
        <v>0</v>
      </c>
      <c r="AF14" s="687">
        <f>VLOOKUP(AB14,Düngemittel!$B$6:$E$64,4,FALSE)*AC14</f>
        <v>0</v>
      </c>
      <c r="AG14" s="666"/>
      <c r="AH14" s="899"/>
      <c r="AI14" s="900" t="s">
        <v>805</v>
      </c>
      <c r="AJ14" s="978">
        <v>0</v>
      </c>
      <c r="AK14" s="751">
        <f>VLOOKUP(AI14,Düngemittel!$B$6:$E$64,2,FALSE)*(VLOOKUP(AI14,Düngemittel!$B$6:$E$64,3,FALSE))/100*AJ14</f>
        <v>0</v>
      </c>
      <c r="AL14" s="687">
        <f>VLOOKUP(AI14,Düngemittel!$B$6:$E$64,2,FALSE)*AJ14</f>
        <v>0</v>
      </c>
      <c r="AM14" s="687">
        <f>VLOOKUP(AI14,Düngemittel!$B$6:$E$64,4,FALSE)*AJ14</f>
        <v>0</v>
      </c>
      <c r="AN14" s="666"/>
      <c r="AO14" s="666"/>
      <c r="AP14" s="853">
        <f t="shared" si="12"/>
        <v>0</v>
      </c>
      <c r="AQ14" s="308">
        <f t="shared" si="13"/>
        <v>0</v>
      </c>
      <c r="AR14" s="853">
        <f t="shared" si="14"/>
        <v>0</v>
      </c>
      <c r="AS14" s="777">
        <f t="shared" si="15"/>
        <v>0</v>
      </c>
      <c r="AT14" s="308">
        <f t="shared" si="16"/>
        <v>0</v>
      </c>
      <c r="AU14" s="785"/>
      <c r="AV14" s="853">
        <f t="shared" si="17"/>
        <v>0</v>
      </c>
      <c r="AW14" s="853">
        <f t="shared" si="18"/>
        <v>0</v>
      </c>
      <c r="AX14" s="853">
        <f t="shared" si="19"/>
        <v>0</v>
      </c>
      <c r="AY14" s="853">
        <f t="shared" si="20"/>
        <v>0</v>
      </c>
      <c r="AZ14" s="853">
        <f t="shared" si="21"/>
        <v>0</v>
      </c>
      <c r="BA14" s="16"/>
      <c r="BB14" s="391" t="s">
        <v>1235</v>
      </c>
      <c r="BC14" s="390">
        <v>30</v>
      </c>
      <c r="BD14" s="390">
        <v>16</v>
      </c>
      <c r="BE14" s="390">
        <v>0</v>
      </c>
      <c r="BF14" s="739"/>
      <c r="BG14" s="739"/>
      <c r="BH14" s="739"/>
      <c r="BI14" s="739"/>
      <c r="BJ14" s="739"/>
      <c r="BK14" s="739"/>
    </row>
    <row r="15" spans="1:63" ht="23.25" customHeight="1" x14ac:dyDescent="0.25">
      <c r="A15" s="342">
        <v>8</v>
      </c>
      <c r="B15" s="1222">
        <v>0</v>
      </c>
      <c r="C15" s="632" t="s">
        <v>31</v>
      </c>
      <c r="D15" s="408">
        <f t="shared" si="0"/>
        <v>0</v>
      </c>
      <c r="E15" s="606">
        <f t="shared" si="1"/>
        <v>0</v>
      </c>
      <c r="F15" s="409">
        <f t="shared" si="6"/>
        <v>0</v>
      </c>
      <c r="G15" s="1218">
        <v>0</v>
      </c>
      <c r="H15" s="906">
        <v>0</v>
      </c>
      <c r="I15" s="897">
        <f t="shared" si="7"/>
        <v>0</v>
      </c>
      <c r="J15" s="433">
        <v>0</v>
      </c>
      <c r="K15" s="606">
        <f t="shared" si="8"/>
        <v>0</v>
      </c>
      <c r="L15" s="1220">
        <v>0</v>
      </c>
      <c r="M15" s="587">
        <f t="shared" si="9"/>
        <v>0</v>
      </c>
      <c r="N15" s="435">
        <f t="shared" si="2"/>
        <v>0</v>
      </c>
      <c r="O15" s="499">
        <f t="shared" si="3"/>
        <v>0</v>
      </c>
      <c r="P15" s="435">
        <f t="shared" si="4"/>
        <v>0</v>
      </c>
      <c r="Q15" s="474"/>
      <c r="R15" s="775">
        <f t="shared" si="10"/>
        <v>8</v>
      </c>
      <c r="S15" s="775" t="str">
        <f t="shared" si="11"/>
        <v>keine</v>
      </c>
      <c r="T15" s="901"/>
      <c r="U15" s="900" t="s">
        <v>805</v>
      </c>
      <c r="V15" s="324">
        <v>0</v>
      </c>
      <c r="W15" s="751">
        <f>VLOOKUP(U15,Düngemittel!$B$6:$E$64,2,FALSE)*(VLOOKUP(U15,Düngemittel!$B$6:$E$64,3,FALSE))/100*V15</f>
        <v>0</v>
      </c>
      <c r="X15" s="687">
        <f>VLOOKUP(U15,Düngemittel!$B$6:$E$64,2,FALSE)*V15</f>
        <v>0</v>
      </c>
      <c r="Y15" s="687">
        <f>VLOOKUP(U15,Düngemittel!$B$6:$E$64,4,FALSE)*V15</f>
        <v>0</v>
      </c>
      <c r="Z15" s="666"/>
      <c r="AA15" s="899"/>
      <c r="AB15" s="900" t="s">
        <v>805</v>
      </c>
      <c r="AC15" s="978">
        <v>0</v>
      </c>
      <c r="AD15" s="751">
        <f>VLOOKUP(AB15,Düngemittel!$B$6:$E$64,2,FALSE)*(VLOOKUP(AB15,Düngemittel!$B$6:$E$64,3,FALSE))/100*AC15</f>
        <v>0</v>
      </c>
      <c r="AE15" s="687">
        <f>VLOOKUP(AB15,Düngemittel!$B$6:$E$64,2,FALSE)*AC15</f>
        <v>0</v>
      </c>
      <c r="AF15" s="687">
        <f>VLOOKUP(AB15,Düngemittel!$B$6:$E$64,4,FALSE)*AC15</f>
        <v>0</v>
      </c>
      <c r="AG15" s="666"/>
      <c r="AH15" s="899"/>
      <c r="AI15" s="900" t="s">
        <v>805</v>
      </c>
      <c r="AJ15" s="978">
        <v>0</v>
      </c>
      <c r="AK15" s="751">
        <f>VLOOKUP(AI15,Düngemittel!$B$6:$E$64,2,FALSE)*(VLOOKUP(AI15,Düngemittel!$B$6:$E$64,3,FALSE))/100*AJ15</f>
        <v>0</v>
      </c>
      <c r="AL15" s="687">
        <f>VLOOKUP(AI15,Düngemittel!$B$6:$E$64,2,FALSE)*AJ15</f>
        <v>0</v>
      </c>
      <c r="AM15" s="687">
        <f>VLOOKUP(AI15,Düngemittel!$B$6:$E$64,4,FALSE)*AJ15</f>
        <v>0</v>
      </c>
      <c r="AN15" s="666"/>
      <c r="AO15" s="666"/>
      <c r="AP15" s="853">
        <f t="shared" si="12"/>
        <v>0</v>
      </c>
      <c r="AQ15" s="308">
        <f t="shared" si="13"/>
        <v>0</v>
      </c>
      <c r="AR15" s="853">
        <f t="shared" si="14"/>
        <v>0</v>
      </c>
      <c r="AS15" s="777">
        <f t="shared" si="15"/>
        <v>0</v>
      </c>
      <c r="AT15" s="308">
        <f t="shared" si="16"/>
        <v>0</v>
      </c>
      <c r="AU15" s="785"/>
      <c r="AV15" s="853">
        <f t="shared" si="17"/>
        <v>0</v>
      </c>
      <c r="AW15" s="853">
        <f t="shared" si="18"/>
        <v>0</v>
      </c>
      <c r="AX15" s="853">
        <f t="shared" si="19"/>
        <v>0</v>
      </c>
      <c r="AY15" s="853">
        <f t="shared" si="20"/>
        <v>0</v>
      </c>
      <c r="AZ15" s="853">
        <f t="shared" si="21"/>
        <v>0</v>
      </c>
      <c r="BA15" s="16"/>
      <c r="BB15" s="390" t="s">
        <v>1236</v>
      </c>
      <c r="BC15" s="390">
        <v>30</v>
      </c>
      <c r="BD15" s="390">
        <v>16</v>
      </c>
      <c r="BE15" s="390">
        <v>0.75</v>
      </c>
      <c r="BF15" s="739"/>
      <c r="BG15" s="739"/>
      <c r="BH15" s="739"/>
      <c r="BI15" s="739"/>
      <c r="BJ15" s="739"/>
      <c r="BK15" s="739"/>
    </row>
    <row r="16" spans="1:63" ht="23.25" customHeight="1" x14ac:dyDescent="0.25">
      <c r="A16" s="342">
        <v>9</v>
      </c>
      <c r="B16" s="1222">
        <v>0</v>
      </c>
      <c r="C16" s="632" t="s">
        <v>31</v>
      </c>
      <c r="D16" s="408">
        <f t="shared" si="0"/>
        <v>0</v>
      </c>
      <c r="E16" s="606">
        <f t="shared" si="1"/>
        <v>0</v>
      </c>
      <c r="F16" s="409">
        <f t="shared" si="6"/>
        <v>0</v>
      </c>
      <c r="G16" s="1218">
        <v>0</v>
      </c>
      <c r="H16" s="906">
        <v>0</v>
      </c>
      <c r="I16" s="897">
        <f t="shared" si="7"/>
        <v>0</v>
      </c>
      <c r="J16" s="433">
        <v>0</v>
      </c>
      <c r="K16" s="606">
        <f t="shared" si="8"/>
        <v>0</v>
      </c>
      <c r="L16" s="1220">
        <v>0</v>
      </c>
      <c r="M16" s="587">
        <f t="shared" si="9"/>
        <v>0</v>
      </c>
      <c r="N16" s="435">
        <f t="shared" si="2"/>
        <v>0</v>
      </c>
      <c r="O16" s="499">
        <f t="shared" si="3"/>
        <v>0</v>
      </c>
      <c r="P16" s="435">
        <f t="shared" si="4"/>
        <v>0</v>
      </c>
      <c r="Q16" s="474"/>
      <c r="R16" s="775">
        <f t="shared" si="10"/>
        <v>9</v>
      </c>
      <c r="S16" s="775" t="str">
        <f t="shared" si="11"/>
        <v>keine</v>
      </c>
      <c r="T16" s="901"/>
      <c r="U16" s="900" t="s">
        <v>805</v>
      </c>
      <c r="V16" s="324">
        <v>0</v>
      </c>
      <c r="W16" s="751">
        <f>VLOOKUP(U16,Düngemittel!$B$6:$E$64,2,FALSE)*(VLOOKUP(U16,Düngemittel!$B$6:$E$64,3,FALSE))/100*V16</f>
        <v>0</v>
      </c>
      <c r="X16" s="687">
        <f>VLOOKUP(U16,Düngemittel!$B$6:$E$64,2,FALSE)*V16</f>
        <v>0</v>
      </c>
      <c r="Y16" s="687">
        <f>VLOOKUP(U16,Düngemittel!$B$6:$E$64,4,FALSE)*V16</f>
        <v>0</v>
      </c>
      <c r="Z16" s="666"/>
      <c r="AA16" s="899"/>
      <c r="AB16" s="900" t="s">
        <v>805</v>
      </c>
      <c r="AC16" s="978">
        <v>0</v>
      </c>
      <c r="AD16" s="751">
        <f>VLOOKUP(AB16,Düngemittel!$B$6:$E$64,2,FALSE)*(VLOOKUP(AB16,Düngemittel!$B$6:$E$64,3,FALSE))/100*AC16</f>
        <v>0</v>
      </c>
      <c r="AE16" s="687">
        <f>VLOOKUP(AB16,Düngemittel!$B$6:$E$64,2,FALSE)*AC16</f>
        <v>0</v>
      </c>
      <c r="AF16" s="687">
        <f>VLOOKUP(AB16,Düngemittel!$B$6:$E$64,4,FALSE)*AC16</f>
        <v>0</v>
      </c>
      <c r="AG16" s="666"/>
      <c r="AH16" s="899"/>
      <c r="AI16" s="900" t="s">
        <v>805</v>
      </c>
      <c r="AJ16" s="978">
        <v>0</v>
      </c>
      <c r="AK16" s="751">
        <f>VLOOKUP(AI16,Düngemittel!$B$6:$E$64,2,FALSE)*(VLOOKUP(AI16,Düngemittel!$B$6:$E$64,3,FALSE))/100*AJ16</f>
        <v>0</v>
      </c>
      <c r="AL16" s="687">
        <f>VLOOKUP(AI16,Düngemittel!$B$6:$E$64,2,FALSE)*AJ16</f>
        <v>0</v>
      </c>
      <c r="AM16" s="687">
        <f>VLOOKUP(AI16,Düngemittel!$B$6:$E$64,4,FALSE)*AJ16</f>
        <v>0</v>
      </c>
      <c r="AN16" s="666"/>
      <c r="AO16" s="666"/>
      <c r="AP16" s="853">
        <f t="shared" si="12"/>
        <v>0</v>
      </c>
      <c r="AQ16" s="308">
        <f t="shared" si="13"/>
        <v>0</v>
      </c>
      <c r="AR16" s="853">
        <f t="shared" si="14"/>
        <v>0</v>
      </c>
      <c r="AS16" s="777">
        <f t="shared" si="15"/>
        <v>0</v>
      </c>
      <c r="AT16" s="308">
        <f t="shared" si="16"/>
        <v>0</v>
      </c>
      <c r="AU16" s="785"/>
      <c r="AV16" s="853">
        <f t="shared" si="17"/>
        <v>0</v>
      </c>
      <c r="AW16" s="853">
        <f t="shared" si="18"/>
        <v>0</v>
      </c>
      <c r="AX16" s="853">
        <f t="shared" si="19"/>
        <v>0</v>
      </c>
      <c r="AY16" s="853">
        <f t="shared" si="20"/>
        <v>0</v>
      </c>
      <c r="AZ16" s="853">
        <f t="shared" si="21"/>
        <v>0</v>
      </c>
      <c r="BA16" s="16"/>
      <c r="BB16" s="391"/>
      <c r="BC16" s="390"/>
      <c r="BD16" s="390"/>
      <c r="BE16" s="390"/>
      <c r="BF16" s="739"/>
      <c r="BG16" s="739"/>
      <c r="BH16" s="739"/>
      <c r="BI16" s="739"/>
      <c r="BJ16" s="739"/>
      <c r="BK16" s="739"/>
    </row>
    <row r="17" spans="1:63" ht="23.25" customHeight="1" x14ac:dyDescent="0.25">
      <c r="A17" s="342">
        <v>10</v>
      </c>
      <c r="B17" s="1222">
        <v>0</v>
      </c>
      <c r="C17" s="632" t="s">
        <v>31</v>
      </c>
      <c r="D17" s="408">
        <f t="shared" si="0"/>
        <v>0</v>
      </c>
      <c r="E17" s="606">
        <f t="shared" si="1"/>
        <v>0</v>
      </c>
      <c r="F17" s="409">
        <f t="shared" si="6"/>
        <v>0</v>
      </c>
      <c r="G17" s="1218">
        <v>0</v>
      </c>
      <c r="H17" s="906">
        <v>0</v>
      </c>
      <c r="I17" s="897">
        <f t="shared" si="7"/>
        <v>0</v>
      </c>
      <c r="J17" s="433">
        <v>0</v>
      </c>
      <c r="K17" s="606">
        <f t="shared" si="8"/>
        <v>0</v>
      </c>
      <c r="L17" s="1220">
        <v>0</v>
      </c>
      <c r="M17" s="587">
        <f t="shared" si="9"/>
        <v>0</v>
      </c>
      <c r="N17" s="435">
        <f t="shared" si="2"/>
        <v>0</v>
      </c>
      <c r="O17" s="499">
        <f t="shared" si="3"/>
        <v>0</v>
      </c>
      <c r="P17" s="435">
        <f t="shared" si="4"/>
        <v>0</v>
      </c>
      <c r="Q17" s="474"/>
      <c r="R17" s="775">
        <f t="shared" si="10"/>
        <v>10</v>
      </c>
      <c r="S17" s="775" t="str">
        <f t="shared" si="11"/>
        <v>keine</v>
      </c>
      <c r="T17" s="901"/>
      <c r="U17" s="900" t="s">
        <v>805</v>
      </c>
      <c r="V17" s="324">
        <v>0</v>
      </c>
      <c r="W17" s="751">
        <f>VLOOKUP(U17,Düngemittel!$B$6:$E$64,2,FALSE)*(VLOOKUP(U17,Düngemittel!$B$6:$E$64,3,FALSE))/100*V17</f>
        <v>0</v>
      </c>
      <c r="X17" s="687">
        <f>VLOOKUP(U17,Düngemittel!$B$6:$E$64,2,FALSE)*V17</f>
        <v>0</v>
      </c>
      <c r="Y17" s="687">
        <f>VLOOKUP(U17,Düngemittel!$B$6:$E$64,4,FALSE)*V17</f>
        <v>0</v>
      </c>
      <c r="Z17" s="666"/>
      <c r="AA17" s="899"/>
      <c r="AB17" s="900" t="s">
        <v>805</v>
      </c>
      <c r="AC17" s="978">
        <v>0</v>
      </c>
      <c r="AD17" s="751">
        <f>VLOOKUP(AB17,Düngemittel!$B$6:$E$64,2,FALSE)*(VLOOKUP(AB17,Düngemittel!$B$6:$E$64,3,FALSE))/100*AC17</f>
        <v>0</v>
      </c>
      <c r="AE17" s="687">
        <f>VLOOKUP(AB17,Düngemittel!$B$6:$E$64,2,FALSE)*AC17</f>
        <v>0</v>
      </c>
      <c r="AF17" s="687">
        <f>VLOOKUP(AB17,Düngemittel!$B$6:$E$64,4,FALSE)*AC17</f>
        <v>0</v>
      </c>
      <c r="AG17" s="666"/>
      <c r="AH17" s="899"/>
      <c r="AI17" s="900" t="s">
        <v>805</v>
      </c>
      <c r="AJ17" s="978">
        <v>0</v>
      </c>
      <c r="AK17" s="751">
        <f>VLOOKUP(AI17,Düngemittel!$B$6:$E$64,2,FALSE)*(VLOOKUP(AI17,Düngemittel!$B$6:$E$64,3,FALSE))/100*AJ17</f>
        <v>0</v>
      </c>
      <c r="AL17" s="687">
        <f>VLOOKUP(AI17,Düngemittel!$B$6:$E$64,2,FALSE)*AJ17</f>
        <v>0</v>
      </c>
      <c r="AM17" s="687">
        <f>VLOOKUP(AI17,Düngemittel!$B$6:$E$64,4,FALSE)*AJ17</f>
        <v>0</v>
      </c>
      <c r="AN17" s="666"/>
      <c r="AO17" s="666"/>
      <c r="AP17" s="853">
        <f t="shared" si="12"/>
        <v>0</v>
      </c>
      <c r="AQ17" s="308">
        <f t="shared" si="13"/>
        <v>0</v>
      </c>
      <c r="AR17" s="853">
        <f t="shared" si="14"/>
        <v>0</v>
      </c>
      <c r="AS17" s="777">
        <f t="shared" si="15"/>
        <v>0</v>
      </c>
      <c r="AT17" s="308">
        <f t="shared" si="16"/>
        <v>0</v>
      </c>
      <c r="AU17" s="785"/>
      <c r="AV17" s="853">
        <f t="shared" si="17"/>
        <v>0</v>
      </c>
      <c r="AW17" s="853">
        <f t="shared" si="18"/>
        <v>0</v>
      </c>
      <c r="AX17" s="853">
        <f t="shared" si="19"/>
        <v>0</v>
      </c>
      <c r="AY17" s="853">
        <f t="shared" si="20"/>
        <v>0</v>
      </c>
      <c r="AZ17" s="853">
        <f t="shared" si="21"/>
        <v>0</v>
      </c>
      <c r="BA17" s="16"/>
      <c r="BB17" s="391"/>
      <c r="BC17" s="390"/>
      <c r="BD17" s="390"/>
      <c r="BE17" s="390"/>
      <c r="BF17" s="739"/>
      <c r="BG17" s="739"/>
      <c r="BH17" s="739"/>
      <c r="BI17" s="739"/>
      <c r="BJ17" s="739"/>
      <c r="BK17" s="739"/>
    </row>
    <row r="18" spans="1:63" ht="23.25" customHeight="1" x14ac:dyDescent="0.25">
      <c r="A18" s="342">
        <v>11</v>
      </c>
      <c r="B18" s="1222">
        <v>0</v>
      </c>
      <c r="C18" s="632" t="s">
        <v>31</v>
      </c>
      <c r="D18" s="408">
        <f t="shared" si="0"/>
        <v>0</v>
      </c>
      <c r="E18" s="606">
        <f t="shared" si="1"/>
        <v>0</v>
      </c>
      <c r="F18" s="409">
        <f t="shared" si="6"/>
        <v>0</v>
      </c>
      <c r="G18" s="1218">
        <v>0</v>
      </c>
      <c r="H18" s="906">
        <v>0</v>
      </c>
      <c r="I18" s="897">
        <f t="shared" si="7"/>
        <v>0</v>
      </c>
      <c r="J18" s="433">
        <v>0</v>
      </c>
      <c r="K18" s="606">
        <f t="shared" si="8"/>
        <v>0</v>
      </c>
      <c r="L18" s="1220">
        <v>0</v>
      </c>
      <c r="M18" s="587">
        <f t="shared" si="9"/>
        <v>0</v>
      </c>
      <c r="N18" s="435">
        <f t="shared" si="2"/>
        <v>0</v>
      </c>
      <c r="O18" s="499">
        <f t="shared" si="3"/>
        <v>0</v>
      </c>
      <c r="P18" s="435">
        <f t="shared" si="4"/>
        <v>0</v>
      </c>
      <c r="Q18" s="474"/>
      <c r="R18" s="775">
        <f t="shared" si="10"/>
        <v>11</v>
      </c>
      <c r="S18" s="775" t="str">
        <f t="shared" si="11"/>
        <v>keine</v>
      </c>
      <c r="T18" s="901"/>
      <c r="U18" s="900" t="s">
        <v>805</v>
      </c>
      <c r="V18" s="324">
        <v>0</v>
      </c>
      <c r="W18" s="751">
        <f>VLOOKUP(U18,Düngemittel!$B$6:$E$64,2,FALSE)*(VLOOKUP(U18,Düngemittel!$B$6:$E$64,3,FALSE))/100*V18</f>
        <v>0</v>
      </c>
      <c r="X18" s="687">
        <f>VLOOKUP(U18,Düngemittel!$B$6:$E$64,2,FALSE)*V18</f>
        <v>0</v>
      </c>
      <c r="Y18" s="687">
        <f>VLOOKUP(U18,Düngemittel!$B$6:$E$64,4,FALSE)*V18</f>
        <v>0</v>
      </c>
      <c r="Z18" s="666"/>
      <c r="AA18" s="899"/>
      <c r="AB18" s="900" t="s">
        <v>805</v>
      </c>
      <c r="AC18" s="978">
        <v>0</v>
      </c>
      <c r="AD18" s="751">
        <f>VLOOKUP(AB18,Düngemittel!$B$6:$E$64,2,FALSE)*(VLOOKUP(AB18,Düngemittel!$B$6:$E$64,3,FALSE))/100*AC18</f>
        <v>0</v>
      </c>
      <c r="AE18" s="687">
        <f>VLOOKUP(AB18,Düngemittel!$B$6:$E$64,2,FALSE)*AC18</f>
        <v>0</v>
      </c>
      <c r="AF18" s="687">
        <f>VLOOKUP(AB18,Düngemittel!$B$6:$E$64,4,FALSE)*AC18</f>
        <v>0</v>
      </c>
      <c r="AG18" s="666"/>
      <c r="AH18" s="899"/>
      <c r="AI18" s="900" t="s">
        <v>805</v>
      </c>
      <c r="AJ18" s="978">
        <v>0</v>
      </c>
      <c r="AK18" s="751">
        <f>VLOOKUP(AI18,Düngemittel!$B$6:$E$64,2,FALSE)*(VLOOKUP(AI18,Düngemittel!$B$6:$E$64,3,FALSE))/100*AJ18</f>
        <v>0</v>
      </c>
      <c r="AL18" s="687">
        <f>VLOOKUP(AI18,Düngemittel!$B$6:$E$64,2,FALSE)*AJ18</f>
        <v>0</v>
      </c>
      <c r="AM18" s="687">
        <f>VLOOKUP(AI18,Düngemittel!$B$6:$E$64,4,FALSE)*AJ18</f>
        <v>0</v>
      </c>
      <c r="AN18" s="666"/>
      <c r="AO18" s="666"/>
      <c r="AP18" s="853">
        <f t="shared" si="12"/>
        <v>0</v>
      </c>
      <c r="AQ18" s="308">
        <f t="shared" si="13"/>
        <v>0</v>
      </c>
      <c r="AR18" s="853">
        <f t="shared" si="14"/>
        <v>0</v>
      </c>
      <c r="AS18" s="777">
        <f t="shared" si="15"/>
        <v>0</v>
      </c>
      <c r="AT18" s="308">
        <f t="shared" si="16"/>
        <v>0</v>
      </c>
      <c r="AU18" s="785"/>
      <c r="AV18" s="853">
        <f t="shared" si="17"/>
        <v>0</v>
      </c>
      <c r="AW18" s="853">
        <f t="shared" si="18"/>
        <v>0</v>
      </c>
      <c r="AX18" s="853">
        <f t="shared" si="19"/>
        <v>0</v>
      </c>
      <c r="AY18" s="853">
        <f t="shared" si="20"/>
        <v>0</v>
      </c>
      <c r="AZ18" s="853">
        <f t="shared" si="21"/>
        <v>0</v>
      </c>
      <c r="BA18" s="16"/>
      <c r="BB18" s="391"/>
      <c r="BC18" s="390"/>
      <c r="BD18" s="390"/>
      <c r="BE18" s="390"/>
      <c r="BF18" s="739"/>
      <c r="BG18" s="740"/>
      <c r="BH18" s="742"/>
      <c r="BI18" s="739"/>
      <c r="BJ18" s="739"/>
      <c r="BK18" s="739"/>
    </row>
    <row r="19" spans="1:63" ht="23.25" customHeight="1" x14ac:dyDescent="0.25">
      <c r="A19" s="342">
        <v>12</v>
      </c>
      <c r="B19" s="1222">
        <v>0</v>
      </c>
      <c r="C19" s="632" t="s">
        <v>31</v>
      </c>
      <c r="D19" s="408">
        <f t="shared" si="0"/>
        <v>0</v>
      </c>
      <c r="E19" s="606">
        <f t="shared" si="1"/>
        <v>0</v>
      </c>
      <c r="F19" s="409">
        <f t="shared" si="6"/>
        <v>0</v>
      </c>
      <c r="G19" s="1218">
        <v>0</v>
      </c>
      <c r="H19" s="906">
        <v>0</v>
      </c>
      <c r="I19" s="897">
        <f t="shared" si="7"/>
        <v>0</v>
      </c>
      <c r="J19" s="433">
        <v>0</v>
      </c>
      <c r="K19" s="606">
        <f t="shared" si="8"/>
        <v>0</v>
      </c>
      <c r="L19" s="1220">
        <v>0</v>
      </c>
      <c r="M19" s="587">
        <f t="shared" si="9"/>
        <v>0</v>
      </c>
      <c r="N19" s="435">
        <f t="shared" si="2"/>
        <v>0</v>
      </c>
      <c r="O19" s="499">
        <f t="shared" si="3"/>
        <v>0</v>
      </c>
      <c r="P19" s="435">
        <f t="shared" si="4"/>
        <v>0</v>
      </c>
      <c r="Q19" s="474"/>
      <c r="R19" s="775">
        <f t="shared" si="10"/>
        <v>12</v>
      </c>
      <c r="S19" s="775" t="str">
        <f t="shared" si="11"/>
        <v>keine</v>
      </c>
      <c r="T19" s="901"/>
      <c r="U19" s="900" t="s">
        <v>805</v>
      </c>
      <c r="V19" s="324">
        <v>0</v>
      </c>
      <c r="W19" s="751">
        <f>VLOOKUP(U19,Düngemittel!$B$6:$E$64,2,FALSE)*(VLOOKUP(U19,Düngemittel!$B$6:$E$64,3,FALSE))/100*V19</f>
        <v>0</v>
      </c>
      <c r="X19" s="687">
        <f>VLOOKUP(U19,Düngemittel!$B$6:$E$64,2,FALSE)*V19</f>
        <v>0</v>
      </c>
      <c r="Y19" s="687">
        <f>VLOOKUP(U19,Düngemittel!$B$6:$E$64,4,FALSE)*V19</f>
        <v>0</v>
      </c>
      <c r="Z19" s="666"/>
      <c r="AA19" s="899"/>
      <c r="AB19" s="900" t="s">
        <v>805</v>
      </c>
      <c r="AC19" s="978">
        <v>0</v>
      </c>
      <c r="AD19" s="751">
        <f>VLOOKUP(AB19,Düngemittel!$B$6:$E$64,2,FALSE)*(VLOOKUP(AB19,Düngemittel!$B$6:$E$64,3,FALSE))/100*AC19</f>
        <v>0</v>
      </c>
      <c r="AE19" s="687">
        <f>VLOOKUP(AB19,Düngemittel!$B$6:$E$64,2,FALSE)*AC19</f>
        <v>0</v>
      </c>
      <c r="AF19" s="687">
        <f>VLOOKUP(AB19,Düngemittel!$B$6:$E$64,4,FALSE)*AC19</f>
        <v>0</v>
      </c>
      <c r="AG19" s="666"/>
      <c r="AH19" s="899"/>
      <c r="AI19" s="900" t="s">
        <v>805</v>
      </c>
      <c r="AJ19" s="978">
        <v>0</v>
      </c>
      <c r="AK19" s="751">
        <f>VLOOKUP(AI19,Düngemittel!$B$6:$E$64,2,FALSE)*(VLOOKUP(AI19,Düngemittel!$B$6:$E$64,3,FALSE))/100*AJ19</f>
        <v>0</v>
      </c>
      <c r="AL19" s="687">
        <f>VLOOKUP(AI19,Düngemittel!$B$6:$E$64,2,FALSE)*AJ19</f>
        <v>0</v>
      </c>
      <c r="AM19" s="687">
        <f>VLOOKUP(AI19,Düngemittel!$B$6:$E$64,4,FALSE)*AJ19</f>
        <v>0</v>
      </c>
      <c r="AN19" s="666"/>
      <c r="AO19" s="666"/>
      <c r="AP19" s="853">
        <f t="shared" si="12"/>
        <v>0</v>
      </c>
      <c r="AQ19" s="308">
        <f t="shared" si="13"/>
        <v>0</v>
      </c>
      <c r="AR19" s="853">
        <f t="shared" si="14"/>
        <v>0</v>
      </c>
      <c r="AS19" s="777">
        <f t="shared" si="15"/>
        <v>0</v>
      </c>
      <c r="AT19" s="308">
        <f t="shared" si="16"/>
        <v>0</v>
      </c>
      <c r="AU19" s="785"/>
      <c r="AV19" s="853">
        <f t="shared" si="17"/>
        <v>0</v>
      </c>
      <c r="AW19" s="853">
        <f t="shared" si="18"/>
        <v>0</v>
      </c>
      <c r="AX19" s="853">
        <f t="shared" si="19"/>
        <v>0</v>
      </c>
      <c r="AY19" s="853">
        <f t="shared" si="20"/>
        <v>0</v>
      </c>
      <c r="AZ19" s="853">
        <f t="shared" si="21"/>
        <v>0</v>
      </c>
      <c r="BA19" s="16"/>
      <c r="BB19" s="391"/>
      <c r="BC19" s="390"/>
      <c r="BD19" s="390"/>
      <c r="BE19" s="390"/>
      <c r="BF19" s="739"/>
      <c r="BG19" s="739"/>
      <c r="BH19" s="739"/>
      <c r="BI19" s="739"/>
      <c r="BJ19" s="739"/>
      <c r="BK19" s="739"/>
    </row>
    <row r="20" spans="1:63" ht="23.25" customHeight="1" x14ac:dyDescent="0.25">
      <c r="A20" s="342">
        <v>13</v>
      </c>
      <c r="B20" s="1222">
        <v>0</v>
      </c>
      <c r="C20" s="632" t="s">
        <v>31</v>
      </c>
      <c r="D20" s="408">
        <f t="shared" si="0"/>
        <v>0</v>
      </c>
      <c r="E20" s="606">
        <f t="shared" si="1"/>
        <v>0</v>
      </c>
      <c r="F20" s="409">
        <f t="shared" si="6"/>
        <v>0</v>
      </c>
      <c r="G20" s="1218">
        <v>0</v>
      </c>
      <c r="H20" s="906">
        <v>0</v>
      </c>
      <c r="I20" s="897">
        <f t="shared" si="7"/>
        <v>0</v>
      </c>
      <c r="J20" s="433">
        <v>0</v>
      </c>
      <c r="K20" s="606">
        <f t="shared" si="8"/>
        <v>0</v>
      </c>
      <c r="L20" s="1220">
        <v>0</v>
      </c>
      <c r="M20" s="587">
        <f t="shared" si="9"/>
        <v>0</v>
      </c>
      <c r="N20" s="435">
        <f t="shared" si="2"/>
        <v>0</v>
      </c>
      <c r="O20" s="499">
        <f t="shared" si="3"/>
        <v>0</v>
      </c>
      <c r="P20" s="435">
        <f t="shared" si="4"/>
        <v>0</v>
      </c>
      <c r="Q20" s="474"/>
      <c r="R20" s="775">
        <f t="shared" si="10"/>
        <v>13</v>
      </c>
      <c r="S20" s="775" t="str">
        <f t="shared" si="11"/>
        <v>keine</v>
      </c>
      <c r="T20" s="901"/>
      <c r="U20" s="900" t="s">
        <v>805</v>
      </c>
      <c r="V20" s="324">
        <v>0</v>
      </c>
      <c r="W20" s="751">
        <f>VLOOKUP(U20,Düngemittel!$B$6:$E$64,2,FALSE)*(VLOOKUP(U20,Düngemittel!$B$6:$E$64,3,FALSE))/100*V20</f>
        <v>0</v>
      </c>
      <c r="X20" s="687">
        <f>VLOOKUP(U20,Düngemittel!$B$6:$E$64,2,FALSE)*V20</f>
        <v>0</v>
      </c>
      <c r="Y20" s="687">
        <f>VLOOKUP(U20,Düngemittel!$B$6:$E$64,4,FALSE)*V20</f>
        <v>0</v>
      </c>
      <c r="Z20" s="666"/>
      <c r="AA20" s="899"/>
      <c r="AB20" s="900" t="s">
        <v>805</v>
      </c>
      <c r="AC20" s="978">
        <v>0</v>
      </c>
      <c r="AD20" s="751">
        <f>VLOOKUP(AB20,Düngemittel!$B$6:$E$64,2,FALSE)*(VLOOKUP(AB20,Düngemittel!$B$6:$E$64,3,FALSE))/100*AC20</f>
        <v>0</v>
      </c>
      <c r="AE20" s="687">
        <f>VLOOKUP(AB20,Düngemittel!$B$6:$E$64,2,FALSE)*AC20</f>
        <v>0</v>
      </c>
      <c r="AF20" s="687">
        <f>VLOOKUP(AB20,Düngemittel!$B$6:$E$64,4,FALSE)*AC20</f>
        <v>0</v>
      </c>
      <c r="AG20" s="666"/>
      <c r="AH20" s="899"/>
      <c r="AI20" s="900" t="s">
        <v>805</v>
      </c>
      <c r="AJ20" s="978">
        <v>0</v>
      </c>
      <c r="AK20" s="751">
        <f>VLOOKUP(AI20,Düngemittel!$B$6:$E$64,2,FALSE)*(VLOOKUP(AI20,Düngemittel!$B$6:$E$64,3,FALSE))/100*AJ20</f>
        <v>0</v>
      </c>
      <c r="AL20" s="687">
        <f>VLOOKUP(AI20,Düngemittel!$B$6:$E$64,2,FALSE)*AJ20</f>
        <v>0</v>
      </c>
      <c r="AM20" s="687">
        <f>VLOOKUP(AI20,Düngemittel!$B$6:$E$64,4,FALSE)*AJ20</f>
        <v>0</v>
      </c>
      <c r="AN20" s="666"/>
      <c r="AO20" s="666"/>
      <c r="AP20" s="853">
        <f t="shared" si="12"/>
        <v>0</v>
      </c>
      <c r="AQ20" s="308">
        <f t="shared" si="13"/>
        <v>0</v>
      </c>
      <c r="AR20" s="853">
        <f t="shared" si="14"/>
        <v>0</v>
      </c>
      <c r="AS20" s="777">
        <f t="shared" si="15"/>
        <v>0</v>
      </c>
      <c r="AT20" s="308">
        <f t="shared" si="16"/>
        <v>0</v>
      </c>
      <c r="AU20" s="785"/>
      <c r="AV20" s="853">
        <f t="shared" si="17"/>
        <v>0</v>
      </c>
      <c r="AW20" s="853">
        <f t="shared" si="18"/>
        <v>0</v>
      </c>
      <c r="AX20" s="853">
        <f t="shared" si="19"/>
        <v>0</v>
      </c>
      <c r="AY20" s="853">
        <f t="shared" si="20"/>
        <v>0</v>
      </c>
      <c r="AZ20" s="853">
        <f t="shared" si="21"/>
        <v>0</v>
      </c>
      <c r="BA20" s="16"/>
      <c r="BB20" s="391"/>
      <c r="BC20" s="390"/>
      <c r="BD20" s="390"/>
      <c r="BE20" s="390"/>
      <c r="BF20" s="739"/>
      <c r="BG20" s="739"/>
      <c r="BH20" s="739"/>
      <c r="BI20" s="739"/>
      <c r="BJ20" s="739"/>
      <c r="BK20" s="739"/>
    </row>
    <row r="21" spans="1:63" ht="23.25" customHeight="1" x14ac:dyDescent="0.25">
      <c r="A21" s="342">
        <v>14</v>
      </c>
      <c r="B21" s="1222">
        <v>0</v>
      </c>
      <c r="C21" s="632" t="s">
        <v>31</v>
      </c>
      <c r="D21" s="408">
        <f t="shared" si="0"/>
        <v>0</v>
      </c>
      <c r="E21" s="606">
        <f t="shared" si="1"/>
        <v>0</v>
      </c>
      <c r="F21" s="409">
        <f t="shared" si="6"/>
        <v>0</v>
      </c>
      <c r="G21" s="1218">
        <v>0</v>
      </c>
      <c r="H21" s="906">
        <v>0</v>
      </c>
      <c r="I21" s="897">
        <f t="shared" si="7"/>
        <v>0</v>
      </c>
      <c r="J21" s="433">
        <v>0</v>
      </c>
      <c r="K21" s="606">
        <f t="shared" si="8"/>
        <v>0</v>
      </c>
      <c r="L21" s="1220">
        <v>0</v>
      </c>
      <c r="M21" s="587">
        <f t="shared" si="9"/>
        <v>0</v>
      </c>
      <c r="N21" s="435">
        <f t="shared" si="2"/>
        <v>0</v>
      </c>
      <c r="O21" s="499">
        <f t="shared" si="3"/>
        <v>0</v>
      </c>
      <c r="P21" s="435">
        <f t="shared" si="4"/>
        <v>0</v>
      </c>
      <c r="Q21" s="474"/>
      <c r="R21" s="775">
        <f t="shared" si="10"/>
        <v>14</v>
      </c>
      <c r="S21" s="775" t="str">
        <f t="shared" si="11"/>
        <v>keine</v>
      </c>
      <c r="T21" s="901"/>
      <c r="U21" s="900" t="s">
        <v>805</v>
      </c>
      <c r="V21" s="324">
        <v>0</v>
      </c>
      <c r="W21" s="751">
        <f>VLOOKUP(U21,Düngemittel!$B$6:$E$64,2,FALSE)*(VLOOKUP(U21,Düngemittel!$B$6:$E$64,3,FALSE))/100*V21</f>
        <v>0</v>
      </c>
      <c r="X21" s="687">
        <f>VLOOKUP(U21,Düngemittel!$B$6:$E$64,2,FALSE)*V21</f>
        <v>0</v>
      </c>
      <c r="Y21" s="687">
        <f>VLOOKUP(U21,Düngemittel!$B$6:$E$64,4,FALSE)*V21</f>
        <v>0</v>
      </c>
      <c r="Z21" s="666"/>
      <c r="AA21" s="899"/>
      <c r="AB21" s="900" t="s">
        <v>805</v>
      </c>
      <c r="AC21" s="978">
        <v>0</v>
      </c>
      <c r="AD21" s="751">
        <f>VLOOKUP(AB21,Düngemittel!$B$6:$E$64,2,FALSE)*(VLOOKUP(AB21,Düngemittel!$B$6:$E$64,3,FALSE))/100*AC21</f>
        <v>0</v>
      </c>
      <c r="AE21" s="687">
        <f>VLOOKUP(AB21,Düngemittel!$B$6:$E$64,2,FALSE)*AC21</f>
        <v>0</v>
      </c>
      <c r="AF21" s="687">
        <f>VLOOKUP(AB21,Düngemittel!$B$6:$E$64,4,FALSE)*AC21</f>
        <v>0</v>
      </c>
      <c r="AG21" s="666"/>
      <c r="AH21" s="899"/>
      <c r="AI21" s="900" t="s">
        <v>805</v>
      </c>
      <c r="AJ21" s="978">
        <v>0</v>
      </c>
      <c r="AK21" s="751">
        <f>VLOOKUP(AI21,Düngemittel!$B$6:$E$64,2,FALSE)*(VLOOKUP(AI21,Düngemittel!$B$6:$E$64,3,FALSE))/100*AJ21</f>
        <v>0</v>
      </c>
      <c r="AL21" s="687">
        <f>VLOOKUP(AI21,Düngemittel!$B$6:$E$64,2,FALSE)*AJ21</f>
        <v>0</v>
      </c>
      <c r="AM21" s="687">
        <f>VLOOKUP(AI21,Düngemittel!$B$6:$E$64,4,FALSE)*AJ21</f>
        <v>0</v>
      </c>
      <c r="AN21" s="666"/>
      <c r="AO21" s="666"/>
      <c r="AP21" s="853">
        <f t="shared" si="12"/>
        <v>0</v>
      </c>
      <c r="AQ21" s="308">
        <f t="shared" si="13"/>
        <v>0</v>
      </c>
      <c r="AR21" s="853">
        <f t="shared" si="14"/>
        <v>0</v>
      </c>
      <c r="AS21" s="777">
        <f t="shared" si="15"/>
        <v>0</v>
      </c>
      <c r="AT21" s="308">
        <f t="shared" si="16"/>
        <v>0</v>
      </c>
      <c r="AU21" s="785"/>
      <c r="AV21" s="853">
        <f t="shared" si="17"/>
        <v>0</v>
      </c>
      <c r="AW21" s="853">
        <f t="shared" si="18"/>
        <v>0</v>
      </c>
      <c r="AX21" s="853">
        <f t="shared" si="19"/>
        <v>0</v>
      </c>
      <c r="AY21" s="853">
        <f t="shared" si="20"/>
        <v>0</v>
      </c>
      <c r="AZ21" s="853">
        <f t="shared" si="21"/>
        <v>0</v>
      </c>
      <c r="BA21" s="16"/>
      <c r="BB21" s="390"/>
      <c r="BC21" s="390"/>
      <c r="BD21" s="390"/>
      <c r="BE21" s="390"/>
      <c r="BF21" s="739"/>
      <c r="BG21" s="739"/>
      <c r="BH21" s="739"/>
      <c r="BI21" s="739"/>
      <c r="BJ21" s="739"/>
      <c r="BK21" s="739"/>
    </row>
    <row r="22" spans="1:63" ht="23.25" customHeight="1" x14ac:dyDescent="0.25">
      <c r="A22" s="342">
        <v>15</v>
      </c>
      <c r="B22" s="1222">
        <v>0</v>
      </c>
      <c r="C22" s="632" t="s">
        <v>31</v>
      </c>
      <c r="D22" s="408">
        <f t="shared" si="0"/>
        <v>0</v>
      </c>
      <c r="E22" s="606">
        <f t="shared" si="1"/>
        <v>0</v>
      </c>
      <c r="F22" s="409">
        <f t="shared" si="6"/>
        <v>0</v>
      </c>
      <c r="G22" s="1218">
        <v>0</v>
      </c>
      <c r="H22" s="906">
        <v>0</v>
      </c>
      <c r="I22" s="897">
        <f t="shared" si="7"/>
        <v>0</v>
      </c>
      <c r="J22" s="433">
        <v>0</v>
      </c>
      <c r="K22" s="606">
        <f t="shared" si="8"/>
        <v>0</v>
      </c>
      <c r="L22" s="1220">
        <v>0</v>
      </c>
      <c r="M22" s="587">
        <f t="shared" si="9"/>
        <v>0</v>
      </c>
      <c r="N22" s="435">
        <f t="shared" si="2"/>
        <v>0</v>
      </c>
      <c r="O22" s="499">
        <f t="shared" si="3"/>
        <v>0</v>
      </c>
      <c r="P22" s="435">
        <f t="shared" si="4"/>
        <v>0</v>
      </c>
      <c r="Q22" s="474"/>
      <c r="R22" s="775">
        <f t="shared" si="10"/>
        <v>15</v>
      </c>
      <c r="S22" s="775" t="str">
        <f t="shared" si="11"/>
        <v>keine</v>
      </c>
      <c r="T22" s="901"/>
      <c r="U22" s="900" t="s">
        <v>805</v>
      </c>
      <c r="V22" s="324">
        <v>0</v>
      </c>
      <c r="W22" s="751">
        <f>VLOOKUP(U22,Düngemittel!$B$6:$E$64,2,FALSE)*(VLOOKUP(U22,Düngemittel!$B$6:$E$64,3,FALSE))/100*V22</f>
        <v>0</v>
      </c>
      <c r="X22" s="687">
        <f>VLOOKUP(U22,Düngemittel!$B$6:$E$64,2,FALSE)*V22</f>
        <v>0</v>
      </c>
      <c r="Y22" s="687">
        <f>VLOOKUP(U22,Düngemittel!$B$6:$E$64,4,FALSE)*V22</f>
        <v>0</v>
      </c>
      <c r="Z22" s="666"/>
      <c r="AA22" s="899"/>
      <c r="AB22" s="900" t="s">
        <v>805</v>
      </c>
      <c r="AC22" s="978">
        <v>0</v>
      </c>
      <c r="AD22" s="751">
        <f>VLOOKUP(AB22,Düngemittel!$B$6:$E$64,2,FALSE)*(VLOOKUP(AB22,Düngemittel!$B$6:$E$64,3,FALSE))/100*AC22</f>
        <v>0</v>
      </c>
      <c r="AE22" s="687">
        <f>VLOOKUP(AB22,Düngemittel!$B$6:$E$64,2,FALSE)*AC22</f>
        <v>0</v>
      </c>
      <c r="AF22" s="687">
        <f>VLOOKUP(AB22,Düngemittel!$B$6:$E$64,4,FALSE)*AC22</f>
        <v>0</v>
      </c>
      <c r="AG22" s="666"/>
      <c r="AH22" s="899"/>
      <c r="AI22" s="900" t="s">
        <v>805</v>
      </c>
      <c r="AJ22" s="978">
        <v>0</v>
      </c>
      <c r="AK22" s="751">
        <f>VLOOKUP(AI22,Düngemittel!$B$6:$E$64,2,FALSE)*(VLOOKUP(AI22,Düngemittel!$B$6:$E$64,3,FALSE))/100*AJ22</f>
        <v>0</v>
      </c>
      <c r="AL22" s="687">
        <f>VLOOKUP(AI22,Düngemittel!$B$6:$E$64,2,FALSE)*AJ22</f>
        <v>0</v>
      </c>
      <c r="AM22" s="687">
        <f>VLOOKUP(AI22,Düngemittel!$B$6:$E$64,4,FALSE)*AJ22</f>
        <v>0</v>
      </c>
      <c r="AN22" s="666"/>
      <c r="AO22" s="666"/>
      <c r="AP22" s="853">
        <f t="shared" si="12"/>
        <v>0</v>
      </c>
      <c r="AQ22" s="308">
        <f t="shared" si="13"/>
        <v>0</v>
      </c>
      <c r="AR22" s="853">
        <f t="shared" si="14"/>
        <v>0</v>
      </c>
      <c r="AS22" s="777">
        <f t="shared" si="15"/>
        <v>0</v>
      </c>
      <c r="AT22" s="308">
        <f t="shared" si="16"/>
        <v>0</v>
      </c>
      <c r="AU22" s="785"/>
      <c r="AV22" s="853">
        <f t="shared" si="17"/>
        <v>0</v>
      </c>
      <c r="AW22" s="853">
        <f t="shared" si="18"/>
        <v>0</v>
      </c>
      <c r="AX22" s="853">
        <f t="shared" si="19"/>
        <v>0</v>
      </c>
      <c r="AY22" s="853">
        <f t="shared" si="20"/>
        <v>0</v>
      </c>
      <c r="AZ22" s="853">
        <f t="shared" si="21"/>
        <v>0</v>
      </c>
      <c r="BA22" s="16"/>
      <c r="BF22" s="739"/>
      <c r="BG22" s="739"/>
      <c r="BH22" s="739"/>
      <c r="BI22" s="739"/>
      <c r="BJ22" s="739"/>
      <c r="BK22" s="739"/>
    </row>
    <row r="23" spans="1:63" ht="23.25" customHeight="1" x14ac:dyDescent="0.25">
      <c r="A23" s="342">
        <v>16</v>
      </c>
      <c r="B23" s="1222">
        <v>0</v>
      </c>
      <c r="C23" s="632" t="s">
        <v>31</v>
      </c>
      <c r="D23" s="408">
        <f t="shared" si="0"/>
        <v>0</v>
      </c>
      <c r="E23" s="606">
        <f t="shared" si="1"/>
        <v>0</v>
      </c>
      <c r="F23" s="409">
        <f t="shared" si="6"/>
        <v>0</v>
      </c>
      <c r="G23" s="1218">
        <v>0</v>
      </c>
      <c r="H23" s="906">
        <v>0</v>
      </c>
      <c r="I23" s="897">
        <f t="shared" si="7"/>
        <v>0</v>
      </c>
      <c r="J23" s="433">
        <v>0</v>
      </c>
      <c r="K23" s="606">
        <f t="shared" si="8"/>
        <v>0</v>
      </c>
      <c r="L23" s="1220">
        <v>0</v>
      </c>
      <c r="M23" s="587">
        <f t="shared" si="9"/>
        <v>0</v>
      </c>
      <c r="N23" s="435">
        <f t="shared" si="2"/>
        <v>0</v>
      </c>
      <c r="O23" s="499">
        <f t="shared" si="3"/>
        <v>0</v>
      </c>
      <c r="P23" s="435">
        <f t="shared" si="4"/>
        <v>0</v>
      </c>
      <c r="Q23" s="474"/>
      <c r="R23" s="775">
        <f t="shared" si="10"/>
        <v>16</v>
      </c>
      <c r="S23" s="775" t="str">
        <f t="shared" si="11"/>
        <v>keine</v>
      </c>
      <c r="T23" s="901"/>
      <c r="U23" s="900" t="s">
        <v>805</v>
      </c>
      <c r="V23" s="324">
        <v>0</v>
      </c>
      <c r="W23" s="751">
        <f>VLOOKUP(U23,Düngemittel!$B$6:$E$64,2,FALSE)*(VLOOKUP(U23,Düngemittel!$B$6:$E$64,3,FALSE))/100*V23</f>
        <v>0</v>
      </c>
      <c r="X23" s="687">
        <f>VLOOKUP(U23,Düngemittel!$B$6:$E$64,2,FALSE)*V23</f>
        <v>0</v>
      </c>
      <c r="Y23" s="687">
        <f>VLOOKUP(U23,Düngemittel!$B$6:$E$64,4,FALSE)*V23</f>
        <v>0</v>
      </c>
      <c r="Z23" s="666"/>
      <c r="AA23" s="899"/>
      <c r="AB23" s="900" t="s">
        <v>805</v>
      </c>
      <c r="AC23" s="978">
        <v>0</v>
      </c>
      <c r="AD23" s="751">
        <f>VLOOKUP(AB23,Düngemittel!$B$6:$E$64,2,FALSE)*(VLOOKUP(AB23,Düngemittel!$B$6:$E$64,3,FALSE))/100*AC23</f>
        <v>0</v>
      </c>
      <c r="AE23" s="687">
        <f>VLOOKUP(AB23,Düngemittel!$B$6:$E$64,2,FALSE)*AC23</f>
        <v>0</v>
      </c>
      <c r="AF23" s="687">
        <f>VLOOKUP(AB23,Düngemittel!$B$6:$E$64,4,FALSE)*AC23</f>
        <v>0</v>
      </c>
      <c r="AG23" s="666"/>
      <c r="AH23" s="899"/>
      <c r="AI23" s="900" t="s">
        <v>805</v>
      </c>
      <c r="AJ23" s="978">
        <v>0</v>
      </c>
      <c r="AK23" s="751">
        <f>VLOOKUP(AI23,Düngemittel!$B$6:$E$64,2,FALSE)*(VLOOKUP(AI23,Düngemittel!$B$6:$E$64,3,FALSE))/100*AJ23</f>
        <v>0</v>
      </c>
      <c r="AL23" s="687">
        <f>VLOOKUP(AI23,Düngemittel!$B$6:$E$64,2,FALSE)*AJ23</f>
        <v>0</v>
      </c>
      <c r="AM23" s="687">
        <f>VLOOKUP(AI23,Düngemittel!$B$6:$E$64,4,FALSE)*AJ23</f>
        <v>0</v>
      </c>
      <c r="AN23" s="666"/>
      <c r="AO23" s="666"/>
      <c r="AP23" s="853">
        <f t="shared" si="12"/>
        <v>0</v>
      </c>
      <c r="AQ23" s="308">
        <f t="shared" si="13"/>
        <v>0</v>
      </c>
      <c r="AR23" s="853">
        <f t="shared" si="14"/>
        <v>0</v>
      </c>
      <c r="AS23" s="777">
        <f t="shared" si="15"/>
        <v>0</v>
      </c>
      <c r="AT23" s="308">
        <f t="shared" si="16"/>
        <v>0</v>
      </c>
      <c r="AU23" s="785"/>
      <c r="AV23" s="853">
        <f t="shared" si="17"/>
        <v>0</v>
      </c>
      <c r="AW23" s="853">
        <f t="shared" si="18"/>
        <v>0</v>
      </c>
      <c r="AX23" s="853">
        <f t="shared" si="19"/>
        <v>0</v>
      </c>
      <c r="AY23" s="853">
        <f t="shared" si="20"/>
        <v>0</v>
      </c>
      <c r="AZ23" s="853">
        <f t="shared" si="21"/>
        <v>0</v>
      </c>
      <c r="BA23" s="16"/>
      <c r="BF23" s="739"/>
      <c r="BG23" s="739"/>
      <c r="BH23" s="739"/>
      <c r="BI23" s="739"/>
      <c r="BJ23" s="739"/>
      <c r="BK23" s="739"/>
    </row>
    <row r="24" spans="1:63" ht="23.25" customHeight="1" x14ac:dyDescent="0.25">
      <c r="A24" s="342">
        <v>17</v>
      </c>
      <c r="B24" s="1222">
        <v>0</v>
      </c>
      <c r="C24" s="632" t="s">
        <v>31</v>
      </c>
      <c r="D24" s="408">
        <f t="shared" si="0"/>
        <v>0</v>
      </c>
      <c r="E24" s="606">
        <f t="shared" si="1"/>
        <v>0</v>
      </c>
      <c r="F24" s="409">
        <f t="shared" si="6"/>
        <v>0</v>
      </c>
      <c r="G24" s="1218">
        <v>0</v>
      </c>
      <c r="H24" s="906">
        <v>0</v>
      </c>
      <c r="I24" s="897">
        <f t="shared" si="7"/>
        <v>0</v>
      </c>
      <c r="J24" s="433">
        <v>0</v>
      </c>
      <c r="K24" s="606">
        <f t="shared" si="8"/>
        <v>0</v>
      </c>
      <c r="L24" s="1220">
        <v>0</v>
      </c>
      <c r="M24" s="587">
        <f t="shared" si="9"/>
        <v>0</v>
      </c>
      <c r="N24" s="435">
        <f t="shared" si="2"/>
        <v>0</v>
      </c>
      <c r="O24" s="499">
        <f t="shared" si="3"/>
        <v>0</v>
      </c>
      <c r="P24" s="435">
        <f t="shared" si="4"/>
        <v>0</v>
      </c>
      <c r="Q24" s="476"/>
      <c r="R24" s="775">
        <f t="shared" si="10"/>
        <v>17</v>
      </c>
      <c r="S24" s="775" t="str">
        <f t="shared" si="11"/>
        <v>keine</v>
      </c>
      <c r="T24" s="901"/>
      <c r="U24" s="900" t="s">
        <v>805</v>
      </c>
      <c r="V24" s="324">
        <v>0</v>
      </c>
      <c r="W24" s="751">
        <f>VLOOKUP(U24,Düngemittel!$B$6:$E$64,2,FALSE)*(VLOOKUP(U24,Düngemittel!$B$6:$E$64,3,FALSE))/100*V24</f>
        <v>0</v>
      </c>
      <c r="X24" s="687">
        <f>VLOOKUP(U24,Düngemittel!$B$6:$E$64,2,FALSE)*V24</f>
        <v>0</v>
      </c>
      <c r="Y24" s="687">
        <f>VLOOKUP(U24,Düngemittel!$B$6:$E$64,4,FALSE)*V24</f>
        <v>0</v>
      </c>
      <c r="Z24" s="666"/>
      <c r="AA24" s="899"/>
      <c r="AB24" s="900" t="s">
        <v>805</v>
      </c>
      <c r="AC24" s="978">
        <v>0</v>
      </c>
      <c r="AD24" s="751">
        <f>VLOOKUP(AB24,Düngemittel!$B$6:$E$64,2,FALSE)*(VLOOKUP(AB24,Düngemittel!$B$6:$E$64,3,FALSE))/100*AC24</f>
        <v>0</v>
      </c>
      <c r="AE24" s="687">
        <f>VLOOKUP(AB24,Düngemittel!$B$6:$E$64,2,FALSE)*AC24</f>
        <v>0</v>
      </c>
      <c r="AF24" s="687">
        <f>VLOOKUP(AB24,Düngemittel!$B$6:$E$64,4,FALSE)*AC24</f>
        <v>0</v>
      </c>
      <c r="AG24" s="666"/>
      <c r="AH24" s="899"/>
      <c r="AI24" s="900" t="s">
        <v>805</v>
      </c>
      <c r="AJ24" s="978">
        <v>0</v>
      </c>
      <c r="AK24" s="751">
        <f>VLOOKUP(AI24,Düngemittel!$B$6:$E$64,2,FALSE)*(VLOOKUP(AI24,Düngemittel!$B$6:$E$64,3,FALSE))/100*AJ24</f>
        <v>0</v>
      </c>
      <c r="AL24" s="687">
        <f>VLOOKUP(AI24,Düngemittel!$B$6:$E$64,2,FALSE)*AJ24</f>
        <v>0</v>
      </c>
      <c r="AM24" s="687">
        <f>VLOOKUP(AI24,Düngemittel!$B$6:$E$64,4,FALSE)*AJ24</f>
        <v>0</v>
      </c>
      <c r="AN24" s="666"/>
      <c r="AO24" s="666"/>
      <c r="AP24" s="853">
        <f t="shared" si="12"/>
        <v>0</v>
      </c>
      <c r="AQ24" s="308">
        <f t="shared" si="13"/>
        <v>0</v>
      </c>
      <c r="AR24" s="853">
        <f t="shared" si="14"/>
        <v>0</v>
      </c>
      <c r="AS24" s="777">
        <f t="shared" si="15"/>
        <v>0</v>
      </c>
      <c r="AT24" s="308">
        <f t="shared" si="16"/>
        <v>0</v>
      </c>
      <c r="AU24" s="785"/>
      <c r="AV24" s="853">
        <f t="shared" si="17"/>
        <v>0</v>
      </c>
      <c r="AW24" s="853">
        <f t="shared" si="18"/>
        <v>0</v>
      </c>
      <c r="AX24" s="853">
        <f t="shared" si="19"/>
        <v>0</v>
      </c>
      <c r="AY24" s="853">
        <f t="shared" si="20"/>
        <v>0</v>
      </c>
      <c r="AZ24" s="853">
        <f t="shared" si="21"/>
        <v>0</v>
      </c>
      <c r="BA24" s="16"/>
      <c r="BF24" s="739"/>
      <c r="BG24" s="741" t="s">
        <v>84</v>
      </c>
      <c r="BH24" s="737"/>
      <c r="BI24" s="739"/>
      <c r="BJ24" s="739"/>
      <c r="BK24" s="739"/>
    </row>
    <row r="25" spans="1:63" ht="23.25" customHeight="1" x14ac:dyDescent="0.25">
      <c r="A25" s="342">
        <v>18</v>
      </c>
      <c r="B25" s="1222">
        <v>0</v>
      </c>
      <c r="C25" s="632" t="s">
        <v>31</v>
      </c>
      <c r="D25" s="408">
        <f t="shared" si="0"/>
        <v>0</v>
      </c>
      <c r="E25" s="606">
        <f t="shared" si="1"/>
        <v>0</v>
      </c>
      <c r="F25" s="409">
        <f t="shared" si="6"/>
        <v>0</v>
      </c>
      <c r="G25" s="1218">
        <v>0</v>
      </c>
      <c r="H25" s="906">
        <v>0</v>
      </c>
      <c r="I25" s="897">
        <f t="shared" si="7"/>
        <v>0</v>
      </c>
      <c r="J25" s="433">
        <v>0</v>
      </c>
      <c r="K25" s="606">
        <f t="shared" si="8"/>
        <v>0</v>
      </c>
      <c r="L25" s="1220">
        <v>0</v>
      </c>
      <c r="M25" s="587">
        <f t="shared" si="9"/>
        <v>0</v>
      </c>
      <c r="N25" s="435">
        <f t="shared" si="2"/>
        <v>0</v>
      </c>
      <c r="O25" s="499">
        <f t="shared" si="3"/>
        <v>0</v>
      </c>
      <c r="P25" s="435">
        <f t="shared" si="4"/>
        <v>0</v>
      </c>
      <c r="R25" s="775">
        <f t="shared" si="10"/>
        <v>18</v>
      </c>
      <c r="S25" s="775" t="str">
        <f t="shared" si="11"/>
        <v>keine</v>
      </c>
      <c r="T25" s="901"/>
      <c r="U25" s="900" t="s">
        <v>805</v>
      </c>
      <c r="V25" s="324">
        <v>0</v>
      </c>
      <c r="W25" s="751">
        <f>VLOOKUP(U25,Düngemittel!$B$6:$E$64,2,FALSE)*(VLOOKUP(U25,Düngemittel!$B$6:$E$64,3,FALSE))/100*V25</f>
        <v>0</v>
      </c>
      <c r="X25" s="687">
        <f>VLOOKUP(U25,Düngemittel!$B$6:$E$64,2,FALSE)*V25</f>
        <v>0</v>
      </c>
      <c r="Y25" s="687">
        <f>VLOOKUP(U25,Düngemittel!$B$6:$E$64,4,FALSE)*V25</f>
        <v>0</v>
      </c>
      <c r="Z25" s="666"/>
      <c r="AA25" s="899"/>
      <c r="AB25" s="900" t="s">
        <v>805</v>
      </c>
      <c r="AC25" s="978">
        <v>0</v>
      </c>
      <c r="AD25" s="751">
        <f>VLOOKUP(AB25,Düngemittel!$B$6:$E$64,2,FALSE)*(VLOOKUP(AB25,Düngemittel!$B$6:$E$64,3,FALSE))/100*AC25</f>
        <v>0</v>
      </c>
      <c r="AE25" s="687">
        <f>VLOOKUP(AB25,Düngemittel!$B$6:$E$64,2,FALSE)*AC25</f>
        <v>0</v>
      </c>
      <c r="AF25" s="687">
        <f>VLOOKUP(AB25,Düngemittel!$B$6:$E$64,4,FALSE)*AC25</f>
        <v>0</v>
      </c>
      <c r="AG25" s="666"/>
      <c r="AH25" s="899"/>
      <c r="AI25" s="900" t="s">
        <v>805</v>
      </c>
      <c r="AJ25" s="978">
        <v>0</v>
      </c>
      <c r="AK25" s="751">
        <f>VLOOKUP(AI25,Düngemittel!$B$6:$E$64,2,FALSE)*(VLOOKUP(AI25,Düngemittel!$B$6:$E$64,3,FALSE))/100*AJ25</f>
        <v>0</v>
      </c>
      <c r="AL25" s="687">
        <f>VLOOKUP(AI25,Düngemittel!$B$6:$E$64,2,FALSE)*AJ25</f>
        <v>0</v>
      </c>
      <c r="AM25" s="687">
        <f>VLOOKUP(AI25,Düngemittel!$B$6:$E$64,4,FALSE)*AJ25</f>
        <v>0</v>
      </c>
      <c r="AN25" s="666"/>
      <c r="AO25" s="666"/>
      <c r="AP25" s="853">
        <f t="shared" si="12"/>
        <v>0</v>
      </c>
      <c r="AQ25" s="308">
        <f t="shared" si="13"/>
        <v>0</v>
      </c>
      <c r="AR25" s="853">
        <f t="shared" si="14"/>
        <v>0</v>
      </c>
      <c r="AS25" s="777">
        <f t="shared" si="15"/>
        <v>0</v>
      </c>
      <c r="AT25" s="308">
        <f t="shared" si="16"/>
        <v>0</v>
      </c>
      <c r="AU25" s="785"/>
      <c r="AV25" s="853">
        <f t="shared" si="17"/>
        <v>0</v>
      </c>
      <c r="AW25" s="853">
        <f t="shared" si="18"/>
        <v>0</v>
      </c>
      <c r="AX25" s="853">
        <f t="shared" si="19"/>
        <v>0</v>
      </c>
      <c r="AY25" s="853">
        <f t="shared" si="20"/>
        <v>0</v>
      </c>
      <c r="AZ25" s="853">
        <f t="shared" si="21"/>
        <v>0</v>
      </c>
      <c r="BA25" s="16"/>
      <c r="BB25" s="17"/>
      <c r="BF25" s="739"/>
      <c r="BG25" s="740" t="s">
        <v>90</v>
      </c>
      <c r="BH25" s="737">
        <v>0</v>
      </c>
      <c r="BI25" s="739"/>
      <c r="BJ25" s="739"/>
      <c r="BK25" s="739"/>
    </row>
    <row r="26" spans="1:63" ht="23.25" customHeight="1" x14ac:dyDescent="0.25">
      <c r="A26" s="342">
        <v>19</v>
      </c>
      <c r="B26" s="1222">
        <v>0</v>
      </c>
      <c r="C26" s="632" t="s">
        <v>31</v>
      </c>
      <c r="D26" s="408">
        <f t="shared" si="0"/>
        <v>0</v>
      </c>
      <c r="E26" s="606">
        <f t="shared" si="1"/>
        <v>0</v>
      </c>
      <c r="F26" s="409">
        <f t="shared" si="6"/>
        <v>0</v>
      </c>
      <c r="G26" s="1218">
        <v>0</v>
      </c>
      <c r="H26" s="906">
        <v>0</v>
      </c>
      <c r="I26" s="897">
        <f t="shared" si="7"/>
        <v>0</v>
      </c>
      <c r="J26" s="433">
        <v>0</v>
      </c>
      <c r="K26" s="606">
        <f t="shared" si="8"/>
        <v>0</v>
      </c>
      <c r="L26" s="1220">
        <v>0</v>
      </c>
      <c r="M26" s="587">
        <f t="shared" si="9"/>
        <v>0</v>
      </c>
      <c r="N26" s="435">
        <f t="shared" si="2"/>
        <v>0</v>
      </c>
      <c r="O26" s="499">
        <f t="shared" si="3"/>
        <v>0</v>
      </c>
      <c r="P26" s="435">
        <f t="shared" si="4"/>
        <v>0</v>
      </c>
      <c r="Q26" s="724"/>
      <c r="R26" s="775">
        <f t="shared" si="10"/>
        <v>19</v>
      </c>
      <c r="S26" s="775" t="str">
        <f t="shared" si="11"/>
        <v>keine</v>
      </c>
      <c r="T26" s="901"/>
      <c r="U26" s="900" t="s">
        <v>805</v>
      </c>
      <c r="V26" s="324">
        <v>0</v>
      </c>
      <c r="W26" s="751">
        <f>VLOOKUP(U26,Düngemittel!$B$6:$E$64,2,FALSE)*(VLOOKUP(U26,Düngemittel!$B$6:$E$64,3,FALSE))/100*V26</f>
        <v>0</v>
      </c>
      <c r="X26" s="687">
        <f>VLOOKUP(U26,Düngemittel!$B$6:$E$64,2,FALSE)*V26</f>
        <v>0</v>
      </c>
      <c r="Y26" s="687">
        <f>VLOOKUP(U26,Düngemittel!$B$6:$E$64,4,FALSE)*V26</f>
        <v>0</v>
      </c>
      <c r="Z26" s="666"/>
      <c r="AA26" s="899"/>
      <c r="AB26" s="900" t="s">
        <v>805</v>
      </c>
      <c r="AC26" s="978">
        <v>0</v>
      </c>
      <c r="AD26" s="751">
        <f>VLOOKUP(AB26,Düngemittel!$B$6:$E$64,2,FALSE)*(VLOOKUP(AB26,Düngemittel!$B$6:$E$64,3,FALSE))/100*AC26</f>
        <v>0</v>
      </c>
      <c r="AE26" s="687">
        <f>VLOOKUP(AB26,Düngemittel!$B$6:$E$64,2,FALSE)*AC26</f>
        <v>0</v>
      </c>
      <c r="AF26" s="687">
        <f>VLOOKUP(AB26,Düngemittel!$B$6:$E$64,4,FALSE)*AC26</f>
        <v>0</v>
      </c>
      <c r="AG26" s="666"/>
      <c r="AH26" s="899"/>
      <c r="AI26" s="900" t="s">
        <v>805</v>
      </c>
      <c r="AJ26" s="978">
        <v>0</v>
      </c>
      <c r="AK26" s="751">
        <f>VLOOKUP(AI26,Düngemittel!$B$6:$E$64,2,FALSE)*(VLOOKUP(AI26,Düngemittel!$B$6:$E$64,3,FALSE))/100*AJ26</f>
        <v>0</v>
      </c>
      <c r="AL26" s="687">
        <f>VLOOKUP(AI26,Düngemittel!$B$6:$E$64,2,FALSE)*AJ26</f>
        <v>0</v>
      </c>
      <c r="AM26" s="687">
        <f>VLOOKUP(AI26,Düngemittel!$B$6:$E$64,4,FALSE)*AJ26</f>
        <v>0</v>
      </c>
      <c r="AN26" s="666"/>
      <c r="AO26" s="666"/>
      <c r="AP26" s="853">
        <f t="shared" si="12"/>
        <v>0</v>
      </c>
      <c r="AQ26" s="308">
        <f t="shared" si="13"/>
        <v>0</v>
      </c>
      <c r="AR26" s="853">
        <f t="shared" si="14"/>
        <v>0</v>
      </c>
      <c r="AS26" s="777">
        <f t="shared" si="15"/>
        <v>0</v>
      </c>
      <c r="AT26" s="308">
        <f t="shared" si="16"/>
        <v>0</v>
      </c>
      <c r="AU26" s="785"/>
      <c r="AV26" s="853">
        <f t="shared" si="17"/>
        <v>0</v>
      </c>
      <c r="AW26" s="853">
        <f t="shared" si="18"/>
        <v>0</v>
      </c>
      <c r="AX26" s="853">
        <f t="shared" si="19"/>
        <v>0</v>
      </c>
      <c r="AY26" s="853">
        <f t="shared" si="20"/>
        <v>0</v>
      </c>
      <c r="AZ26" s="853">
        <f t="shared" si="21"/>
        <v>0</v>
      </c>
      <c r="BA26" s="16"/>
      <c r="BB26" s="17"/>
      <c r="BF26" s="739"/>
      <c r="BG26" s="740" t="s">
        <v>88</v>
      </c>
      <c r="BH26" s="737">
        <v>20</v>
      </c>
      <c r="BI26" s="739"/>
      <c r="BJ26" s="739"/>
      <c r="BK26" s="739"/>
    </row>
    <row r="27" spans="1:63" ht="23.25" customHeight="1" x14ac:dyDescent="0.25">
      <c r="A27" s="342">
        <v>20</v>
      </c>
      <c r="B27" s="1222">
        <v>0</v>
      </c>
      <c r="C27" s="632" t="s">
        <v>31</v>
      </c>
      <c r="D27" s="408">
        <f t="shared" si="0"/>
        <v>0</v>
      </c>
      <c r="E27" s="606">
        <f t="shared" si="1"/>
        <v>0</v>
      </c>
      <c r="F27" s="409">
        <f t="shared" si="6"/>
        <v>0</v>
      </c>
      <c r="G27" s="1218">
        <v>0</v>
      </c>
      <c r="H27" s="906">
        <v>0</v>
      </c>
      <c r="I27" s="897">
        <f t="shared" si="7"/>
        <v>0</v>
      </c>
      <c r="J27" s="433">
        <v>0</v>
      </c>
      <c r="K27" s="606">
        <f t="shared" si="8"/>
        <v>0</v>
      </c>
      <c r="L27" s="1220">
        <v>0</v>
      </c>
      <c r="M27" s="587">
        <f t="shared" si="9"/>
        <v>0</v>
      </c>
      <c r="N27" s="435">
        <f t="shared" si="2"/>
        <v>0</v>
      </c>
      <c r="O27" s="499">
        <f t="shared" si="3"/>
        <v>0</v>
      </c>
      <c r="P27" s="435">
        <f t="shared" si="4"/>
        <v>0</v>
      </c>
      <c r="Q27" s="519"/>
      <c r="R27" s="775">
        <f t="shared" si="10"/>
        <v>20</v>
      </c>
      <c r="S27" s="775" t="str">
        <f t="shared" si="11"/>
        <v>keine</v>
      </c>
      <c r="T27" s="901"/>
      <c r="U27" s="900" t="s">
        <v>805</v>
      </c>
      <c r="V27" s="324">
        <v>0</v>
      </c>
      <c r="W27" s="751">
        <f>VLOOKUP(U27,Düngemittel!$B$6:$E$64,2,FALSE)*(VLOOKUP(U27,Düngemittel!$B$6:$E$64,3,FALSE))/100*V27</f>
        <v>0</v>
      </c>
      <c r="X27" s="687">
        <f>VLOOKUP(U27,Düngemittel!$B$6:$E$64,2,FALSE)*V27</f>
        <v>0</v>
      </c>
      <c r="Y27" s="687">
        <f>VLOOKUP(U27,Düngemittel!$B$6:$E$64,4,FALSE)*V27</f>
        <v>0</v>
      </c>
      <c r="Z27" s="666"/>
      <c r="AA27" s="899"/>
      <c r="AB27" s="900" t="s">
        <v>805</v>
      </c>
      <c r="AC27" s="978">
        <v>0</v>
      </c>
      <c r="AD27" s="751">
        <f>VLOOKUP(AB27,Düngemittel!$B$6:$E$64,2,FALSE)*(VLOOKUP(AB27,Düngemittel!$B$6:$E$64,3,FALSE))/100*AC27</f>
        <v>0</v>
      </c>
      <c r="AE27" s="687">
        <f>VLOOKUP(AB27,Düngemittel!$B$6:$E$64,2,FALSE)*AC27</f>
        <v>0</v>
      </c>
      <c r="AF27" s="687">
        <f>VLOOKUP(AB27,Düngemittel!$B$6:$E$64,4,FALSE)*AC27</f>
        <v>0</v>
      </c>
      <c r="AG27" s="666"/>
      <c r="AH27" s="899"/>
      <c r="AI27" s="900" t="s">
        <v>805</v>
      </c>
      <c r="AJ27" s="978">
        <v>0</v>
      </c>
      <c r="AK27" s="751">
        <f>VLOOKUP(AI27,Düngemittel!$B$6:$E$64,2,FALSE)*(VLOOKUP(AI27,Düngemittel!$B$6:$E$64,3,FALSE))/100*AJ27</f>
        <v>0</v>
      </c>
      <c r="AL27" s="687">
        <f>VLOOKUP(AI27,Düngemittel!$B$6:$E$64,2,FALSE)*AJ27</f>
        <v>0</v>
      </c>
      <c r="AM27" s="687">
        <f>VLOOKUP(AI27,Düngemittel!$B$6:$E$64,4,FALSE)*AJ27</f>
        <v>0</v>
      </c>
      <c r="AN27" s="666"/>
      <c r="AO27" s="666"/>
      <c r="AP27" s="853">
        <f t="shared" si="12"/>
        <v>0</v>
      </c>
      <c r="AQ27" s="308">
        <f t="shared" si="13"/>
        <v>0</v>
      </c>
      <c r="AR27" s="853">
        <f t="shared" si="14"/>
        <v>0</v>
      </c>
      <c r="AS27" s="777">
        <f t="shared" si="15"/>
        <v>0</v>
      </c>
      <c r="AT27" s="308">
        <f t="shared" si="16"/>
        <v>0</v>
      </c>
      <c r="AU27" s="785"/>
      <c r="AV27" s="853">
        <f t="shared" si="17"/>
        <v>0</v>
      </c>
      <c r="AW27" s="853">
        <f t="shared" si="18"/>
        <v>0</v>
      </c>
      <c r="AX27" s="853">
        <f t="shared" si="19"/>
        <v>0</v>
      </c>
      <c r="AY27" s="853">
        <f t="shared" si="20"/>
        <v>0</v>
      </c>
      <c r="AZ27" s="853">
        <f t="shared" si="21"/>
        <v>0</v>
      </c>
      <c r="BA27" s="16"/>
      <c r="BF27" s="739"/>
      <c r="BG27" s="740" t="s">
        <v>89</v>
      </c>
      <c r="BH27" s="737">
        <v>40</v>
      </c>
      <c r="BI27" s="739"/>
      <c r="BJ27" s="739"/>
      <c r="BK27" s="739"/>
    </row>
    <row r="28" spans="1:63" ht="23.25" customHeight="1" x14ac:dyDescent="0.25">
      <c r="A28" s="342">
        <v>21</v>
      </c>
      <c r="B28" s="1222">
        <v>0</v>
      </c>
      <c r="C28" s="632" t="s">
        <v>31</v>
      </c>
      <c r="D28" s="408">
        <f t="shared" si="0"/>
        <v>0</v>
      </c>
      <c r="E28" s="606">
        <f t="shared" si="1"/>
        <v>0</v>
      </c>
      <c r="F28" s="409">
        <f t="shared" si="6"/>
        <v>0</v>
      </c>
      <c r="G28" s="1218">
        <v>0</v>
      </c>
      <c r="H28" s="906">
        <v>0</v>
      </c>
      <c r="I28" s="897">
        <f t="shared" si="7"/>
        <v>0</v>
      </c>
      <c r="J28" s="433">
        <v>0</v>
      </c>
      <c r="K28" s="606">
        <f t="shared" si="8"/>
        <v>0</v>
      </c>
      <c r="L28" s="1220">
        <v>0</v>
      </c>
      <c r="M28" s="587">
        <f t="shared" si="9"/>
        <v>0</v>
      </c>
      <c r="N28" s="435">
        <f t="shared" si="2"/>
        <v>0</v>
      </c>
      <c r="O28" s="499">
        <f t="shared" si="3"/>
        <v>0</v>
      </c>
      <c r="P28" s="435">
        <f t="shared" si="4"/>
        <v>0</v>
      </c>
      <c r="Q28" s="723"/>
      <c r="R28" s="775">
        <f t="shared" si="10"/>
        <v>21</v>
      </c>
      <c r="S28" s="775" t="str">
        <f t="shared" si="11"/>
        <v>keine</v>
      </c>
      <c r="T28" s="901"/>
      <c r="U28" s="900" t="s">
        <v>805</v>
      </c>
      <c r="V28" s="324">
        <v>0</v>
      </c>
      <c r="W28" s="751">
        <f>VLOOKUP(U28,Düngemittel!$B$6:$E$64,2,FALSE)*(VLOOKUP(U28,Düngemittel!$B$6:$E$64,3,FALSE))/100*V28</f>
        <v>0</v>
      </c>
      <c r="X28" s="687">
        <f>VLOOKUP(U28,Düngemittel!$B$6:$E$64,2,FALSE)*V28</f>
        <v>0</v>
      </c>
      <c r="Y28" s="687">
        <f>VLOOKUP(U28,Düngemittel!$B$6:$E$64,4,FALSE)*V28</f>
        <v>0</v>
      </c>
      <c r="Z28" s="666"/>
      <c r="AA28" s="899"/>
      <c r="AB28" s="900" t="s">
        <v>805</v>
      </c>
      <c r="AC28" s="978">
        <v>0</v>
      </c>
      <c r="AD28" s="751">
        <f>VLOOKUP(AB28,Düngemittel!$B$6:$E$64,2,FALSE)*(VLOOKUP(AB28,Düngemittel!$B$6:$E$64,3,FALSE))/100*AC28</f>
        <v>0</v>
      </c>
      <c r="AE28" s="687">
        <f>VLOOKUP(AB28,Düngemittel!$B$6:$E$64,2,FALSE)*AC28</f>
        <v>0</v>
      </c>
      <c r="AF28" s="687">
        <f>VLOOKUP(AB28,Düngemittel!$B$6:$E$64,4,FALSE)*AC28</f>
        <v>0</v>
      </c>
      <c r="AG28" s="666"/>
      <c r="AH28" s="899"/>
      <c r="AI28" s="900" t="s">
        <v>805</v>
      </c>
      <c r="AJ28" s="978">
        <v>0</v>
      </c>
      <c r="AK28" s="751">
        <f>VLOOKUP(AI28,Düngemittel!$B$6:$E$64,2,FALSE)*(VLOOKUP(AI28,Düngemittel!$B$6:$E$64,3,FALSE))/100*AJ28</f>
        <v>0</v>
      </c>
      <c r="AL28" s="687">
        <f>VLOOKUP(AI28,Düngemittel!$B$6:$E$64,2,FALSE)*AJ28</f>
        <v>0</v>
      </c>
      <c r="AM28" s="687">
        <f>VLOOKUP(AI28,Düngemittel!$B$6:$E$64,4,FALSE)*AJ28</f>
        <v>0</v>
      </c>
      <c r="AN28" s="666"/>
      <c r="AO28" s="666"/>
      <c r="AP28" s="853">
        <f t="shared" si="12"/>
        <v>0</v>
      </c>
      <c r="AQ28" s="308">
        <f t="shared" si="13"/>
        <v>0</v>
      </c>
      <c r="AR28" s="853">
        <f t="shared" si="14"/>
        <v>0</v>
      </c>
      <c r="AS28" s="777">
        <f t="shared" si="15"/>
        <v>0</v>
      </c>
      <c r="AT28" s="308">
        <f t="shared" si="16"/>
        <v>0</v>
      </c>
      <c r="AU28" s="785"/>
      <c r="AV28" s="853">
        <f t="shared" si="17"/>
        <v>0</v>
      </c>
      <c r="AW28" s="853">
        <f t="shared" si="18"/>
        <v>0</v>
      </c>
      <c r="AX28" s="853">
        <f t="shared" si="19"/>
        <v>0</v>
      </c>
      <c r="AY28" s="853">
        <f t="shared" si="20"/>
        <v>0</v>
      </c>
      <c r="AZ28" s="853">
        <f t="shared" si="21"/>
        <v>0</v>
      </c>
      <c r="BA28" s="16"/>
      <c r="BB28" s="17"/>
      <c r="BC28" s="400"/>
      <c r="BD28" s="400"/>
      <c r="BE28" s="400"/>
      <c r="BF28" s="739"/>
      <c r="BG28" s="740" t="s">
        <v>233</v>
      </c>
      <c r="BH28" s="737">
        <v>60</v>
      </c>
      <c r="BI28" s="739"/>
      <c r="BJ28" s="739"/>
      <c r="BK28" s="739"/>
    </row>
    <row r="29" spans="1:63" ht="24" customHeight="1" x14ac:dyDescent="0.25">
      <c r="A29" s="342">
        <v>22</v>
      </c>
      <c r="B29" s="1222">
        <v>0</v>
      </c>
      <c r="C29" s="632" t="s">
        <v>31</v>
      </c>
      <c r="D29" s="408">
        <f t="shared" si="0"/>
        <v>0</v>
      </c>
      <c r="E29" s="606">
        <f t="shared" si="1"/>
        <v>0</v>
      </c>
      <c r="F29" s="409">
        <f t="shared" si="6"/>
        <v>0</v>
      </c>
      <c r="G29" s="1218">
        <v>0</v>
      </c>
      <c r="H29" s="906">
        <v>0</v>
      </c>
      <c r="I29" s="897">
        <f t="shared" si="7"/>
        <v>0</v>
      </c>
      <c r="J29" s="433">
        <v>0</v>
      </c>
      <c r="K29" s="606">
        <f t="shared" si="8"/>
        <v>0</v>
      </c>
      <c r="L29" s="1220">
        <v>0</v>
      </c>
      <c r="M29" s="587">
        <f t="shared" si="9"/>
        <v>0</v>
      </c>
      <c r="N29" s="435">
        <f t="shared" si="2"/>
        <v>0</v>
      </c>
      <c r="O29" s="499">
        <f t="shared" si="3"/>
        <v>0</v>
      </c>
      <c r="P29" s="435">
        <f t="shared" si="4"/>
        <v>0</v>
      </c>
      <c r="Q29" s="16"/>
      <c r="R29" s="775">
        <f t="shared" si="10"/>
        <v>22</v>
      </c>
      <c r="S29" s="775" t="str">
        <f t="shared" si="11"/>
        <v>keine</v>
      </c>
      <c r="T29" s="901"/>
      <c r="U29" s="900" t="s">
        <v>805</v>
      </c>
      <c r="V29" s="324">
        <v>0</v>
      </c>
      <c r="W29" s="751">
        <f>VLOOKUP(U29,Düngemittel!$B$6:$E$64,2,FALSE)*(VLOOKUP(U29,Düngemittel!$B$6:$E$64,3,FALSE))/100*V29</f>
        <v>0</v>
      </c>
      <c r="X29" s="687">
        <f>VLOOKUP(U29,Düngemittel!$B$6:$E$64,2,FALSE)*V29</f>
        <v>0</v>
      </c>
      <c r="Y29" s="687">
        <f>VLOOKUP(U29,Düngemittel!$B$6:$E$64,4,FALSE)*V29</f>
        <v>0</v>
      </c>
      <c r="Z29" s="666"/>
      <c r="AA29" s="899"/>
      <c r="AB29" s="900" t="s">
        <v>805</v>
      </c>
      <c r="AC29" s="978">
        <v>0</v>
      </c>
      <c r="AD29" s="751">
        <f>VLOOKUP(AB29,Düngemittel!$B$6:$E$64,2,FALSE)*(VLOOKUP(AB29,Düngemittel!$B$6:$E$64,3,FALSE))/100*AC29</f>
        <v>0</v>
      </c>
      <c r="AE29" s="687">
        <f>VLOOKUP(AB29,Düngemittel!$B$6:$E$64,2,FALSE)*AC29</f>
        <v>0</v>
      </c>
      <c r="AF29" s="687">
        <f>VLOOKUP(AB29,Düngemittel!$B$6:$E$64,4,FALSE)*AC29</f>
        <v>0</v>
      </c>
      <c r="AG29" s="666"/>
      <c r="AH29" s="899"/>
      <c r="AI29" s="900" t="s">
        <v>805</v>
      </c>
      <c r="AJ29" s="978">
        <v>0</v>
      </c>
      <c r="AK29" s="751">
        <f>VLOOKUP(AI29,Düngemittel!$B$6:$E$64,2,FALSE)*(VLOOKUP(AI29,Düngemittel!$B$6:$E$64,3,FALSE))/100*AJ29</f>
        <v>0</v>
      </c>
      <c r="AL29" s="687">
        <f>VLOOKUP(AI29,Düngemittel!$B$6:$E$64,2,FALSE)*AJ29</f>
        <v>0</v>
      </c>
      <c r="AM29" s="687">
        <f>VLOOKUP(AI29,Düngemittel!$B$6:$E$64,4,FALSE)*AJ29</f>
        <v>0</v>
      </c>
      <c r="AN29" s="666"/>
      <c r="AO29" s="666"/>
      <c r="AP29" s="853">
        <f t="shared" si="12"/>
        <v>0</v>
      </c>
      <c r="AQ29" s="308">
        <f t="shared" si="13"/>
        <v>0</v>
      </c>
      <c r="AR29" s="853">
        <f t="shared" si="14"/>
        <v>0</v>
      </c>
      <c r="AS29" s="777">
        <f t="shared" si="15"/>
        <v>0</v>
      </c>
      <c r="AT29" s="308">
        <f t="shared" si="16"/>
        <v>0</v>
      </c>
      <c r="AU29" s="785"/>
      <c r="AV29" s="853">
        <f t="shared" si="17"/>
        <v>0</v>
      </c>
      <c r="AW29" s="853">
        <f t="shared" si="18"/>
        <v>0</v>
      </c>
      <c r="AX29" s="853">
        <f t="shared" si="19"/>
        <v>0</v>
      </c>
      <c r="AY29" s="853">
        <f t="shared" si="20"/>
        <v>0</v>
      </c>
      <c r="AZ29" s="853">
        <f t="shared" si="21"/>
        <v>0</v>
      </c>
      <c r="BA29" s="16"/>
      <c r="BB29" s="17"/>
      <c r="BD29" s="400"/>
      <c r="BE29" s="400"/>
      <c r="BF29" s="352"/>
    </row>
    <row r="30" spans="1:63" ht="24" customHeight="1" x14ac:dyDescent="0.25">
      <c r="A30" s="342">
        <v>23</v>
      </c>
      <c r="B30" s="1222">
        <v>0</v>
      </c>
      <c r="C30" s="632" t="s">
        <v>31</v>
      </c>
      <c r="D30" s="408">
        <f t="shared" si="0"/>
        <v>0</v>
      </c>
      <c r="E30" s="606">
        <f t="shared" si="1"/>
        <v>0</v>
      </c>
      <c r="F30" s="409">
        <f t="shared" si="6"/>
        <v>0</v>
      </c>
      <c r="G30" s="1218">
        <v>0</v>
      </c>
      <c r="H30" s="906">
        <v>0</v>
      </c>
      <c r="I30" s="897">
        <f t="shared" si="7"/>
        <v>0</v>
      </c>
      <c r="J30" s="433">
        <v>0</v>
      </c>
      <c r="K30" s="606">
        <f t="shared" si="8"/>
        <v>0</v>
      </c>
      <c r="L30" s="1220">
        <v>0</v>
      </c>
      <c r="M30" s="587">
        <f t="shared" si="9"/>
        <v>0</v>
      </c>
      <c r="N30" s="435">
        <f t="shared" si="2"/>
        <v>0</v>
      </c>
      <c r="O30" s="499">
        <f t="shared" si="3"/>
        <v>0</v>
      </c>
      <c r="P30" s="435">
        <f t="shared" si="4"/>
        <v>0</v>
      </c>
      <c r="Q30" s="16"/>
      <c r="R30" s="775">
        <f t="shared" si="10"/>
        <v>23</v>
      </c>
      <c r="S30" s="775" t="str">
        <f t="shared" si="11"/>
        <v>keine</v>
      </c>
      <c r="T30" s="901"/>
      <c r="U30" s="900" t="s">
        <v>805</v>
      </c>
      <c r="V30" s="324">
        <v>0</v>
      </c>
      <c r="W30" s="751">
        <f>VLOOKUP(U30,Düngemittel!$B$6:$E$64,2,FALSE)*(VLOOKUP(U30,Düngemittel!$B$6:$E$64,3,FALSE))/100*V30</f>
        <v>0</v>
      </c>
      <c r="X30" s="687">
        <f>VLOOKUP(U30,Düngemittel!$B$6:$E$64,2,FALSE)*V30</f>
        <v>0</v>
      </c>
      <c r="Y30" s="687">
        <f>VLOOKUP(U30,Düngemittel!$B$6:$E$64,4,FALSE)*V30</f>
        <v>0</v>
      </c>
      <c r="Z30" s="666"/>
      <c r="AA30" s="899"/>
      <c r="AB30" s="900" t="s">
        <v>805</v>
      </c>
      <c r="AC30" s="978">
        <v>0</v>
      </c>
      <c r="AD30" s="751">
        <f>VLOOKUP(AB30,Düngemittel!$B$6:$E$64,2,FALSE)*(VLOOKUP(AB30,Düngemittel!$B$6:$E$64,3,FALSE))/100*AC30</f>
        <v>0</v>
      </c>
      <c r="AE30" s="687">
        <f>VLOOKUP(AB30,Düngemittel!$B$6:$E$64,2,FALSE)*AC30</f>
        <v>0</v>
      </c>
      <c r="AF30" s="687">
        <f>VLOOKUP(AB30,Düngemittel!$B$6:$E$64,4,FALSE)*AC30</f>
        <v>0</v>
      </c>
      <c r="AG30" s="666"/>
      <c r="AH30" s="899"/>
      <c r="AI30" s="900" t="s">
        <v>805</v>
      </c>
      <c r="AJ30" s="978">
        <v>0</v>
      </c>
      <c r="AK30" s="751">
        <f>VLOOKUP(AI30,Düngemittel!$B$6:$E$64,2,FALSE)*(VLOOKUP(AI30,Düngemittel!$B$6:$E$64,3,FALSE))/100*AJ30</f>
        <v>0</v>
      </c>
      <c r="AL30" s="687">
        <f>VLOOKUP(AI30,Düngemittel!$B$6:$E$64,2,FALSE)*AJ30</f>
        <v>0</v>
      </c>
      <c r="AM30" s="687">
        <f>VLOOKUP(AI30,Düngemittel!$B$6:$E$64,4,FALSE)*AJ30</f>
        <v>0</v>
      </c>
      <c r="AN30" s="666"/>
      <c r="AO30" s="666"/>
      <c r="AP30" s="853">
        <f t="shared" si="12"/>
        <v>0</v>
      </c>
      <c r="AQ30" s="308">
        <f t="shared" si="13"/>
        <v>0</v>
      </c>
      <c r="AR30" s="853">
        <f t="shared" si="14"/>
        <v>0</v>
      </c>
      <c r="AS30" s="777">
        <f t="shared" si="15"/>
        <v>0</v>
      </c>
      <c r="AT30" s="308">
        <f t="shared" si="16"/>
        <v>0</v>
      </c>
      <c r="AU30" s="785"/>
      <c r="AV30" s="853">
        <f t="shared" si="17"/>
        <v>0</v>
      </c>
      <c r="AW30" s="853">
        <f t="shared" si="18"/>
        <v>0</v>
      </c>
      <c r="AX30" s="853">
        <f t="shared" si="19"/>
        <v>0</v>
      </c>
      <c r="AY30" s="853">
        <f t="shared" si="20"/>
        <v>0</v>
      </c>
      <c r="AZ30" s="853">
        <f t="shared" si="21"/>
        <v>0</v>
      </c>
      <c r="BA30" s="16"/>
      <c r="BB30" s="148"/>
      <c r="BD30" s="400"/>
    </row>
    <row r="31" spans="1:63" ht="24" customHeight="1" thickBot="1" x14ac:dyDescent="0.3">
      <c r="A31" s="342">
        <v>24</v>
      </c>
      <c r="B31" s="1222">
        <v>0</v>
      </c>
      <c r="C31" s="632" t="s">
        <v>31</v>
      </c>
      <c r="D31" s="410">
        <f t="shared" si="0"/>
        <v>0</v>
      </c>
      <c r="E31" s="607">
        <f t="shared" si="1"/>
        <v>0</v>
      </c>
      <c r="F31" s="952">
        <f t="shared" si="6"/>
        <v>0</v>
      </c>
      <c r="G31" s="1218">
        <v>0</v>
      </c>
      <c r="H31" s="906">
        <v>0</v>
      </c>
      <c r="I31" s="897">
        <f t="shared" si="7"/>
        <v>0</v>
      </c>
      <c r="J31" s="433">
        <v>0</v>
      </c>
      <c r="K31" s="606">
        <f t="shared" si="8"/>
        <v>0</v>
      </c>
      <c r="L31" s="1220">
        <v>0</v>
      </c>
      <c r="M31" s="989">
        <f t="shared" si="9"/>
        <v>0</v>
      </c>
      <c r="N31" s="435">
        <f t="shared" si="2"/>
        <v>0</v>
      </c>
      <c r="O31" s="499">
        <f t="shared" si="3"/>
        <v>0</v>
      </c>
      <c r="P31" s="435">
        <f t="shared" si="4"/>
        <v>0</v>
      </c>
      <c r="Q31" s="16"/>
      <c r="R31" s="775">
        <f t="shared" si="10"/>
        <v>24</v>
      </c>
      <c r="S31" s="775" t="str">
        <f t="shared" si="11"/>
        <v>keine</v>
      </c>
      <c r="T31" s="886"/>
      <c r="U31" s="887" t="s">
        <v>805</v>
      </c>
      <c r="V31" s="906">
        <v>0</v>
      </c>
      <c r="W31" s="751">
        <f>VLOOKUP(U31,Düngemittel!$B$6:$E$64,2,FALSE)*(VLOOKUP(U31,Düngemittel!$B$6:$E$64,3,FALSE))/100*V31</f>
        <v>0</v>
      </c>
      <c r="X31" s="687">
        <f>VLOOKUP(U31,Düngemittel!$B$6:$E$64,2,FALSE)*V31</f>
        <v>0</v>
      </c>
      <c r="Y31" s="687">
        <f>VLOOKUP(U31,Düngemittel!$B$6:$E$64,4,FALSE)*V31</f>
        <v>0</v>
      </c>
      <c r="Z31" s="666"/>
      <c r="AA31" s="899"/>
      <c r="AB31" s="900" t="s">
        <v>805</v>
      </c>
      <c r="AC31" s="978">
        <v>0</v>
      </c>
      <c r="AD31" s="751">
        <f>VLOOKUP(AB31,Düngemittel!$B$6:$E$64,2,FALSE)*(VLOOKUP(AB31,Düngemittel!$B$6:$E$64,3,FALSE))/100*AC31</f>
        <v>0</v>
      </c>
      <c r="AE31" s="687">
        <f>VLOOKUP(AB31,Düngemittel!$B$6:$E$64,2,FALSE)*AC31</f>
        <v>0</v>
      </c>
      <c r="AF31" s="687">
        <f>VLOOKUP(AB31,Düngemittel!$B$6:$E$64,4,FALSE)*AC31</f>
        <v>0</v>
      </c>
      <c r="AG31" s="666"/>
      <c r="AH31" s="899"/>
      <c r="AI31" s="900" t="s">
        <v>805</v>
      </c>
      <c r="AJ31" s="978">
        <v>0</v>
      </c>
      <c r="AK31" s="751">
        <f>VLOOKUP(AI31,Düngemittel!$B$6:$E$64,2,FALSE)*(VLOOKUP(AI31,Düngemittel!$B$6:$E$64,3,FALSE))/100*AJ31</f>
        <v>0</v>
      </c>
      <c r="AL31" s="687">
        <f>VLOOKUP(AI31,Düngemittel!$B$6:$E$64,2,FALSE)*AJ31</f>
        <v>0</v>
      </c>
      <c r="AM31" s="687">
        <f>VLOOKUP(AI31,Düngemittel!$B$6:$E$64,4,FALSE)*AJ31</f>
        <v>0</v>
      </c>
      <c r="AN31" s="666"/>
      <c r="AO31" s="666"/>
      <c r="AP31" s="853">
        <f t="shared" si="12"/>
        <v>0</v>
      </c>
      <c r="AQ31" s="308">
        <f t="shared" si="13"/>
        <v>0</v>
      </c>
      <c r="AR31" s="853">
        <f t="shared" si="14"/>
        <v>0</v>
      </c>
      <c r="AS31" s="777">
        <f t="shared" si="15"/>
        <v>0</v>
      </c>
      <c r="AT31" s="308">
        <f t="shared" si="16"/>
        <v>0</v>
      </c>
      <c r="AU31" s="785"/>
      <c r="AV31" s="853">
        <f t="shared" si="17"/>
        <v>0</v>
      </c>
      <c r="AW31" s="853">
        <f t="shared" si="18"/>
        <v>0</v>
      </c>
      <c r="AX31" s="853">
        <f t="shared" si="19"/>
        <v>0</v>
      </c>
      <c r="AY31" s="853">
        <f t="shared" si="20"/>
        <v>0</v>
      </c>
      <c r="AZ31" s="853">
        <f t="shared" si="21"/>
        <v>0</v>
      </c>
      <c r="BA31" s="16"/>
      <c r="BB31" s="148"/>
      <c r="BD31" s="732"/>
    </row>
    <row r="32" spans="1:63" ht="23.25" customHeight="1" thickBot="1" x14ac:dyDescent="0.3">
      <c r="A32" s="410" t="s">
        <v>292</v>
      </c>
      <c r="B32" s="772">
        <f>SUM(B8:B31)</f>
        <v>1</v>
      </c>
      <c r="C32" s="815" t="s">
        <v>1190</v>
      </c>
      <c r="D32" s="993"/>
      <c r="E32" s="795"/>
      <c r="F32" s="371"/>
      <c r="G32" s="375"/>
      <c r="H32" s="375"/>
      <c r="I32" s="375"/>
      <c r="J32" s="375"/>
      <c r="K32" s="375"/>
      <c r="L32" s="375"/>
      <c r="M32" s="988" t="s">
        <v>1197</v>
      </c>
      <c r="N32" s="380">
        <f>SUM(N8:N31)</f>
        <v>0</v>
      </c>
      <c r="O32" s="496"/>
      <c r="P32" s="380">
        <f>SUM(P8:P31)</f>
        <v>0</v>
      </c>
      <c r="Q32" s="47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24"/>
      <c r="AQ32" s="60"/>
      <c r="AR32" s="60"/>
      <c r="AS32" s="224"/>
      <c r="AT32" s="60"/>
      <c r="AU32" s="272"/>
      <c r="AV32" s="308">
        <f>SUM(AV5:AV31)</f>
        <v>67.5</v>
      </c>
      <c r="AW32" s="308">
        <f>SUM(AW5:AW31)</f>
        <v>67.5</v>
      </c>
      <c r="AX32" s="308">
        <f>SUM(AX5:AX31)</f>
        <v>67.5</v>
      </c>
      <c r="AY32" s="308">
        <f>SUM(AY5:AY31)</f>
        <v>0</v>
      </c>
      <c r="AZ32" s="308">
        <f>SUM(AZ5:AZ31)</f>
        <v>0</v>
      </c>
      <c r="BA32" s="782" t="s">
        <v>1097</v>
      </c>
      <c r="BE32" s="125"/>
    </row>
    <row r="33" spans="1:57" ht="24" customHeight="1" x14ac:dyDescent="0.25">
      <c r="A33" s="746"/>
      <c r="B33" s="773"/>
      <c r="D33" s="80"/>
      <c r="E33" s="112"/>
      <c r="M33" s="42"/>
      <c r="N33" s="1310" t="s">
        <v>1118</v>
      </c>
      <c r="P33" s="1310" t="s">
        <v>1119</v>
      </c>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462">
        <f>AV33</f>
        <v>67.5</v>
      </c>
      <c r="AQ33" s="462">
        <f t="shared" ref="AQ33:AT33" si="22">AW33</f>
        <v>67.5</v>
      </c>
      <c r="AR33" s="462">
        <f t="shared" si="22"/>
        <v>67.5</v>
      </c>
      <c r="AS33" s="777">
        <f t="shared" si="22"/>
        <v>0</v>
      </c>
      <c r="AT33" s="462">
        <f t="shared" si="22"/>
        <v>0</v>
      </c>
      <c r="AU33" s="272"/>
      <c r="AV33" s="784">
        <f>AV32/$B32</f>
        <v>67.5</v>
      </c>
      <c r="AW33" s="308">
        <f>AW32/$B32</f>
        <v>67.5</v>
      </c>
      <c r="AX33" s="784">
        <f>AX32/$B32</f>
        <v>67.5</v>
      </c>
      <c r="AY33" s="777">
        <f>AY32/$B32</f>
        <v>0</v>
      </c>
      <c r="AZ33" s="308">
        <f>AZ32/$B32</f>
        <v>0</v>
      </c>
      <c r="BA33" s="782" t="s">
        <v>1076</v>
      </c>
      <c r="BE33" s="125"/>
    </row>
    <row r="34" spans="1:57" ht="54" customHeight="1" thickBot="1" x14ac:dyDescent="0.3">
      <c r="A34" s="519"/>
      <c r="B34" s="805"/>
      <c r="D34" s="80"/>
      <c r="E34" s="112"/>
      <c r="M34" s="272"/>
      <c r="N34" s="1311"/>
      <c r="P34" s="1311"/>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775" t="s">
        <v>1096</v>
      </c>
      <c r="AQ34" s="312" t="s">
        <v>1082</v>
      </c>
      <c r="AR34" s="312" t="s">
        <v>1083</v>
      </c>
      <c r="AS34" s="699" t="s">
        <v>1268</v>
      </c>
      <c r="AT34" s="312" t="s">
        <v>290</v>
      </c>
      <c r="AU34" s="519"/>
      <c r="AV34" s="780" t="s">
        <v>1096</v>
      </c>
      <c r="AW34" s="312" t="s">
        <v>1082</v>
      </c>
      <c r="AX34" s="781" t="s">
        <v>1098</v>
      </c>
      <c r="AY34" s="699" t="s">
        <v>1268</v>
      </c>
      <c r="AZ34" s="312" t="s">
        <v>290</v>
      </c>
      <c r="BE34" s="125"/>
    </row>
    <row r="35" spans="1:57" ht="24" customHeight="1" x14ac:dyDescent="0.25">
      <c r="B35" s="112"/>
      <c r="D35" s="80"/>
      <c r="E35" s="112"/>
      <c r="J35" s="151"/>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722"/>
      <c r="AV35" s="722"/>
      <c r="AW35" s="83"/>
      <c r="AX35" s="83"/>
      <c r="AY35" s="83"/>
      <c r="AZ35" s="83"/>
      <c r="BE35" s="125"/>
    </row>
    <row r="36" spans="1:57" ht="24.75" customHeight="1" x14ac:dyDescent="0.25">
      <c r="A36" s="1384" t="s">
        <v>1084</v>
      </c>
      <c r="B36" s="1385"/>
      <c r="C36" s="1387" t="s">
        <v>1088</v>
      </c>
      <c r="D36" s="1388"/>
      <c r="E36" s="1388"/>
      <c r="F36" s="1388"/>
      <c r="G36" s="1388"/>
      <c r="H36" s="1388"/>
      <c r="I36" s="1388"/>
      <c r="J36" s="1388"/>
      <c r="K36" s="1388"/>
      <c r="L36" s="1379"/>
      <c r="M36" s="1379"/>
      <c r="N36" s="1379"/>
      <c r="O36" s="1331"/>
      <c r="P36" s="1332"/>
      <c r="Q36" s="47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357"/>
      <c r="BE36" s="130"/>
    </row>
    <row r="37" spans="1:57" ht="32.25" customHeight="1" x14ac:dyDescent="0.25">
      <c r="A37" s="1385"/>
      <c r="B37" s="1385"/>
      <c r="C37" s="1389"/>
      <c r="D37" s="1390"/>
      <c r="E37" s="1390"/>
      <c r="F37" s="1390"/>
      <c r="G37" s="1390"/>
      <c r="H37" s="1390"/>
      <c r="I37" s="1390"/>
      <c r="J37" s="1390"/>
      <c r="K37" s="1390"/>
      <c r="L37" s="1293"/>
      <c r="M37" s="1293"/>
      <c r="N37" s="1293"/>
      <c r="O37" s="1336"/>
      <c r="P37" s="1337"/>
      <c r="Q37" s="476"/>
      <c r="R37" s="476"/>
      <c r="S37" s="476"/>
      <c r="T37" s="476"/>
      <c r="U37" s="476"/>
      <c r="V37" s="476"/>
      <c r="W37" s="476"/>
      <c r="X37" s="476"/>
      <c r="Y37" s="476"/>
      <c r="Z37" s="476"/>
      <c r="AA37" s="476"/>
      <c r="AB37" s="476"/>
      <c r="AC37" s="476"/>
      <c r="AD37" s="476"/>
      <c r="AE37" s="476"/>
      <c r="AF37" s="476"/>
      <c r="AG37" s="476"/>
      <c r="AH37" s="476"/>
      <c r="AI37" s="476"/>
      <c r="AJ37" s="476"/>
      <c r="AK37" s="476"/>
      <c r="AL37" s="476"/>
      <c r="AM37" s="476"/>
      <c r="AN37" s="476"/>
      <c r="AO37" s="476"/>
      <c r="AP37" s="476"/>
      <c r="AQ37" s="476"/>
      <c r="AR37" s="476"/>
      <c r="AS37" s="476"/>
      <c r="AT37" s="476"/>
      <c r="AU37" s="476"/>
      <c r="AV37" s="476"/>
      <c r="AW37" s="476"/>
      <c r="AX37" s="476"/>
      <c r="AY37" s="476"/>
      <c r="AZ37" s="476"/>
      <c r="BB37" s="17"/>
      <c r="BE37" s="130"/>
    </row>
    <row r="38" spans="1:57" ht="30.75" customHeight="1" x14ac:dyDescent="0.25">
      <c r="A38" s="1386"/>
      <c r="B38" s="1386"/>
      <c r="C38" s="1391"/>
      <c r="D38" s="1341"/>
      <c r="E38" s="1341"/>
      <c r="F38" s="1341"/>
      <c r="G38" s="1341"/>
      <c r="H38" s="1341"/>
      <c r="I38" s="1341"/>
      <c r="J38" s="1341"/>
      <c r="K38" s="1341"/>
      <c r="L38" s="1341"/>
      <c r="M38" s="1341"/>
      <c r="N38" s="1341"/>
      <c r="O38" s="1341"/>
      <c r="P38" s="1342"/>
      <c r="Q38" s="476"/>
      <c r="BB38" s="356"/>
      <c r="BC38" s="400"/>
    </row>
    <row r="39" spans="1:57" ht="30.75" customHeight="1" x14ac:dyDescent="0.25">
      <c r="B39" s="112"/>
      <c r="D39" s="80"/>
      <c r="E39" s="112"/>
      <c r="J39" s="151"/>
      <c r="Q39" s="726"/>
      <c r="R39" s="725"/>
      <c r="S39" s="725"/>
      <c r="T39" s="725"/>
      <c r="U39" s="725"/>
      <c r="V39" s="725"/>
      <c r="W39" s="725"/>
      <c r="X39" s="725"/>
      <c r="Y39" s="725"/>
      <c r="Z39" s="725"/>
      <c r="AA39" s="725"/>
      <c r="AB39" s="725"/>
      <c r="AC39" s="725"/>
      <c r="AD39" s="725"/>
      <c r="AE39" s="725"/>
      <c r="AF39" s="725"/>
      <c r="AG39" s="725"/>
      <c r="AH39" s="725"/>
      <c r="AI39" s="725"/>
      <c r="AJ39" s="725"/>
      <c r="AK39" s="725"/>
      <c r="AL39" s="725"/>
      <c r="AM39" s="725"/>
      <c r="AN39" s="725"/>
      <c r="AO39" s="725"/>
      <c r="AP39" s="725"/>
      <c r="AQ39" s="725"/>
      <c r="AR39" s="725"/>
      <c r="AS39" s="725"/>
      <c r="AT39" s="725"/>
      <c r="AU39" s="725"/>
      <c r="AV39" s="725"/>
      <c r="AW39" s="725"/>
      <c r="AX39" s="725"/>
      <c r="AY39" s="725"/>
      <c r="AZ39" s="725"/>
      <c r="BB39" s="400"/>
      <c r="BC39" s="400"/>
    </row>
    <row r="40" spans="1:57" ht="19.5" customHeight="1" x14ac:dyDescent="0.25">
      <c r="A40" s="1320" t="s">
        <v>617</v>
      </c>
      <c r="B40" s="1321"/>
      <c r="C40" s="1347" t="s">
        <v>1089</v>
      </c>
      <c r="D40" s="1281"/>
      <c r="E40" s="1281"/>
      <c r="F40" s="1281"/>
      <c r="G40" s="1281"/>
      <c r="H40" s="1281"/>
      <c r="I40" s="1281"/>
      <c r="J40" s="1281"/>
      <c r="K40" s="1281"/>
      <c r="L40" s="1281"/>
      <c r="M40" s="1281"/>
      <c r="N40" s="1281"/>
      <c r="O40" s="1348"/>
      <c r="P40" s="1348"/>
      <c r="Q40" s="357"/>
      <c r="R40" s="476"/>
      <c r="S40" s="476"/>
      <c r="T40" s="476"/>
      <c r="U40" s="476"/>
      <c r="V40" s="476"/>
      <c r="W40" s="476"/>
      <c r="X40" s="476"/>
      <c r="Y40" s="476"/>
      <c r="Z40" s="476"/>
      <c r="AA40" s="476"/>
      <c r="AB40" s="476"/>
      <c r="AC40" s="476"/>
      <c r="AD40" s="476"/>
      <c r="AE40" s="476"/>
      <c r="AF40" s="476"/>
      <c r="AG40" s="476"/>
      <c r="AH40" s="476"/>
      <c r="AI40" s="476"/>
      <c r="AJ40" s="476"/>
      <c r="AK40" s="476"/>
      <c r="AL40" s="476"/>
      <c r="AM40" s="476"/>
      <c r="AN40" s="476"/>
      <c r="AO40" s="476"/>
      <c r="AP40" s="476"/>
      <c r="AQ40" s="476"/>
      <c r="AR40" s="476"/>
      <c r="AS40" s="476"/>
      <c r="AT40" s="476"/>
      <c r="AU40" s="476"/>
      <c r="AV40" s="476"/>
      <c r="AW40" s="476"/>
      <c r="AX40" s="476"/>
      <c r="AY40" s="476"/>
      <c r="AZ40" s="476"/>
      <c r="BB40" s="400"/>
      <c r="BC40" s="400"/>
    </row>
    <row r="41" spans="1:57" ht="15.75" customHeight="1" x14ac:dyDescent="0.25">
      <c r="A41" s="1322"/>
      <c r="B41" s="1323"/>
      <c r="C41" s="1281"/>
      <c r="D41" s="1281"/>
      <c r="E41" s="1281"/>
      <c r="F41" s="1281"/>
      <c r="G41" s="1281"/>
      <c r="H41" s="1281"/>
      <c r="I41" s="1281"/>
      <c r="J41" s="1281"/>
      <c r="K41" s="1281"/>
      <c r="L41" s="1281"/>
      <c r="M41" s="1281"/>
      <c r="N41" s="1281"/>
      <c r="O41" s="1348"/>
      <c r="P41" s="1348"/>
      <c r="R41" s="476"/>
      <c r="S41" s="476"/>
      <c r="T41" s="476"/>
      <c r="U41" s="476"/>
      <c r="V41" s="476"/>
      <c r="W41" s="476"/>
      <c r="X41" s="476"/>
      <c r="Y41" s="476"/>
      <c r="Z41" s="476"/>
      <c r="AA41" s="476"/>
      <c r="AB41" s="476"/>
      <c r="AC41" s="476"/>
      <c r="AD41" s="476"/>
      <c r="AE41" s="476"/>
      <c r="AF41" s="476"/>
      <c r="AG41" s="476"/>
      <c r="AH41" s="476"/>
      <c r="AI41" s="476"/>
      <c r="AJ41" s="476"/>
      <c r="AK41" s="476"/>
      <c r="AL41" s="476"/>
      <c r="AM41" s="476"/>
      <c r="AN41" s="476"/>
      <c r="AO41" s="476"/>
      <c r="AP41" s="476"/>
      <c r="AQ41" s="476"/>
      <c r="AR41" s="476"/>
      <c r="AS41" s="476"/>
      <c r="AT41" s="476"/>
      <c r="AU41" s="476"/>
      <c r="AV41" s="476"/>
      <c r="AW41" s="476"/>
      <c r="AX41" s="476"/>
      <c r="AY41" s="476"/>
      <c r="AZ41" s="476"/>
      <c r="BB41" s="400"/>
      <c r="BC41" s="400"/>
      <c r="BE41" s="125"/>
    </row>
    <row r="42" spans="1:57" ht="15.75" customHeight="1" x14ac:dyDescent="0.25">
      <c r="A42" s="1343"/>
      <c r="B42" s="1344"/>
      <c r="C42" s="1281"/>
      <c r="D42" s="1281"/>
      <c r="E42" s="1281"/>
      <c r="F42" s="1281"/>
      <c r="G42" s="1281"/>
      <c r="H42" s="1281"/>
      <c r="I42" s="1281"/>
      <c r="J42" s="1281"/>
      <c r="K42" s="1281"/>
      <c r="L42" s="1281"/>
      <c r="M42" s="1281"/>
      <c r="N42" s="1281"/>
      <c r="O42" s="1348"/>
      <c r="P42" s="1348"/>
      <c r="R42" s="476"/>
      <c r="S42" s="476"/>
      <c r="T42" s="476"/>
      <c r="U42" s="476"/>
      <c r="V42" s="476"/>
      <c r="W42" s="476"/>
      <c r="X42" s="476"/>
      <c r="Y42" s="476"/>
      <c r="Z42" s="476"/>
      <c r="AA42" s="476"/>
      <c r="AB42" s="476"/>
      <c r="AC42" s="476"/>
      <c r="AD42" s="476"/>
      <c r="AE42" s="476"/>
      <c r="AF42" s="476"/>
      <c r="AG42" s="476"/>
      <c r="AH42" s="476"/>
      <c r="AI42" s="476"/>
      <c r="AJ42" s="476"/>
      <c r="AK42" s="476"/>
      <c r="AL42" s="476"/>
      <c r="AM42" s="476"/>
      <c r="AN42" s="476"/>
      <c r="AO42" s="476"/>
      <c r="AP42" s="476"/>
      <c r="AQ42" s="476"/>
      <c r="AR42" s="476"/>
      <c r="AS42" s="476"/>
      <c r="AT42" s="476"/>
      <c r="AU42" s="476"/>
      <c r="AV42" s="476"/>
      <c r="AW42" s="476"/>
      <c r="AX42" s="476"/>
      <c r="AY42" s="476"/>
      <c r="AZ42" s="476"/>
      <c r="BE42" s="125"/>
    </row>
    <row r="43" spans="1:57" ht="15.75" customHeight="1" x14ac:dyDescent="0.25">
      <c r="A43" s="1345"/>
      <c r="B43" s="1346"/>
      <c r="C43" s="1347" t="s">
        <v>594</v>
      </c>
      <c r="D43" s="1281"/>
      <c r="E43" s="1281"/>
      <c r="F43" s="1281"/>
      <c r="G43" s="1281"/>
      <c r="H43" s="1281"/>
      <c r="I43" s="1281"/>
      <c r="J43" s="1281"/>
      <c r="K43" s="1281"/>
      <c r="L43" s="1281"/>
      <c r="M43" s="1348"/>
      <c r="N43" s="1348"/>
      <c r="O43" s="1348"/>
      <c r="P43" s="1348"/>
      <c r="R43" s="726"/>
      <c r="S43" s="726"/>
      <c r="T43" s="726"/>
      <c r="U43" s="726"/>
      <c r="V43" s="726"/>
      <c r="W43" s="726"/>
      <c r="X43" s="726"/>
      <c r="Y43" s="726"/>
      <c r="Z43" s="726"/>
      <c r="AA43" s="726"/>
      <c r="AB43" s="726"/>
      <c r="AC43" s="726"/>
      <c r="AD43" s="726"/>
      <c r="AE43" s="726"/>
      <c r="AF43" s="726"/>
      <c r="AG43" s="726"/>
      <c r="AH43" s="726"/>
      <c r="AI43" s="726"/>
      <c r="AJ43" s="726"/>
      <c r="AK43" s="726"/>
      <c r="AL43" s="726"/>
      <c r="AM43" s="726"/>
      <c r="AN43" s="726"/>
      <c r="AO43" s="726"/>
      <c r="AP43" s="726"/>
      <c r="AQ43" s="726"/>
      <c r="AR43" s="726"/>
      <c r="AS43" s="726"/>
      <c r="AT43" s="726"/>
      <c r="AU43" s="726"/>
      <c r="AV43" s="726"/>
      <c r="AW43" s="726"/>
      <c r="AX43" s="726"/>
      <c r="AY43" s="726"/>
      <c r="AZ43" s="726"/>
      <c r="BE43" s="125"/>
    </row>
    <row r="44" spans="1:57" ht="24.75" customHeight="1" x14ac:dyDescent="0.25">
      <c r="R44" s="357"/>
      <c r="S44" s="357"/>
      <c r="T44" s="357"/>
      <c r="U44" s="357"/>
      <c r="V44" s="357"/>
      <c r="W44" s="357"/>
      <c r="X44" s="357"/>
      <c r="Y44" s="357"/>
      <c r="Z44" s="357"/>
      <c r="AA44" s="357"/>
      <c r="AB44" s="357"/>
      <c r="AC44" s="357"/>
      <c r="AD44" s="357"/>
      <c r="AE44" s="357"/>
      <c r="AF44" s="357"/>
      <c r="AG44" s="357"/>
      <c r="AH44" s="357"/>
      <c r="AI44" s="357"/>
      <c r="AJ44" s="357"/>
      <c r="AK44" s="357"/>
      <c r="AL44" s="357"/>
      <c r="AM44" s="357"/>
      <c r="AN44" s="357"/>
      <c r="AO44" s="357"/>
      <c r="AP44" s="357"/>
      <c r="AQ44" s="357"/>
      <c r="AR44" s="357"/>
      <c r="AS44" s="357"/>
      <c r="AT44" s="357"/>
      <c r="AU44" s="357"/>
      <c r="AV44" s="357"/>
      <c r="AW44" s="357"/>
      <c r="AX44" s="357"/>
      <c r="AY44" s="357"/>
      <c r="AZ44" s="357"/>
      <c r="BE44" s="125"/>
    </row>
    <row r="45" spans="1:57" ht="24.75" customHeight="1" x14ac:dyDescent="0.25">
      <c r="BE45" s="125"/>
    </row>
    <row r="46" spans="1:57" ht="24.75" customHeight="1" x14ac:dyDescent="0.25">
      <c r="Q46" s="124"/>
      <c r="BE46" s="125"/>
    </row>
    <row r="47" spans="1:57" ht="24" customHeight="1" x14ac:dyDescent="0.25">
      <c r="O47" s="122"/>
      <c r="Q47" s="124"/>
    </row>
    <row r="48" spans="1:57" ht="10.5" customHeight="1" x14ac:dyDescent="0.25">
      <c r="O48" s="122"/>
      <c r="Q48" s="124"/>
      <c r="T48" s="147"/>
      <c r="U48" s="147"/>
    </row>
    <row r="49" spans="17:54" ht="32.25" customHeight="1" x14ac:dyDescent="0.25">
      <c r="Q49" s="124"/>
      <c r="T49" s="214"/>
      <c r="U49" s="214"/>
      <c r="V49" s="214"/>
      <c r="W49" s="214"/>
      <c r="X49" s="214"/>
      <c r="Y49" s="214"/>
      <c r="Z49" s="214"/>
      <c r="AA49" s="214"/>
      <c r="AB49" s="214"/>
      <c r="AC49" s="214"/>
      <c r="AD49" s="214"/>
      <c r="AE49" s="214"/>
      <c r="AF49" s="214"/>
      <c r="AG49" s="214"/>
      <c r="AH49" s="214"/>
      <c r="AI49" s="214"/>
      <c r="AJ49" s="214"/>
      <c r="AK49" s="214"/>
      <c r="AL49" s="214"/>
      <c r="AM49" s="214"/>
      <c r="AN49" s="214"/>
      <c r="AO49" s="214"/>
      <c r="AP49" s="214"/>
      <c r="AQ49" s="214"/>
      <c r="AR49" s="214"/>
      <c r="AS49" s="214"/>
      <c r="AT49" s="214"/>
      <c r="AU49" s="214"/>
      <c r="AV49" s="214"/>
      <c r="AW49" s="214"/>
      <c r="AX49" s="214"/>
      <c r="AY49" s="214"/>
      <c r="AZ49" s="214"/>
      <c r="BA49" s="214"/>
      <c r="BB49" s="214"/>
    </row>
    <row r="50" spans="17:54" ht="32.25" customHeight="1" x14ac:dyDescent="0.25">
      <c r="R50" s="124"/>
      <c r="S50" s="124"/>
      <c r="T50" s="214"/>
      <c r="U50" s="214"/>
      <c r="V50" s="214"/>
      <c r="W50" s="214"/>
      <c r="X50" s="214"/>
      <c r="Y50" s="214"/>
      <c r="Z50" s="214"/>
      <c r="AA50" s="214"/>
      <c r="AB50" s="214"/>
      <c r="AC50" s="214"/>
      <c r="AD50" s="214"/>
      <c r="AE50" s="214"/>
      <c r="AF50" s="214"/>
      <c r="AG50" s="214"/>
      <c r="AH50" s="214"/>
      <c r="AI50" s="214"/>
      <c r="AJ50" s="214"/>
      <c r="AK50" s="214"/>
      <c r="AL50" s="214"/>
      <c r="AM50" s="214"/>
      <c r="AN50" s="214"/>
      <c r="AO50" s="214"/>
      <c r="AP50" s="214"/>
      <c r="AQ50" s="214"/>
      <c r="AR50" s="214"/>
      <c r="AS50" s="214"/>
      <c r="AT50" s="214"/>
      <c r="AU50" s="214"/>
      <c r="AV50" s="214"/>
      <c r="AW50" s="214"/>
      <c r="AX50" s="214"/>
      <c r="AY50" s="214"/>
      <c r="AZ50" s="214"/>
      <c r="BA50" s="214"/>
      <c r="BB50" s="214"/>
    </row>
    <row r="51" spans="17:54" ht="15.75" x14ac:dyDescent="0.25">
      <c r="R51" s="124"/>
      <c r="S51" s="124"/>
    </row>
    <row r="52" spans="17:54" ht="19.5" customHeight="1" x14ac:dyDescent="0.25">
      <c r="R52" s="124"/>
      <c r="S52" s="124"/>
      <c r="T52" s="665"/>
      <c r="U52" s="665"/>
      <c r="V52" s="124"/>
      <c r="W52" s="1382"/>
      <c r="X52" s="1336"/>
      <c r="Y52" s="240"/>
      <c r="Z52" s="240"/>
      <c r="AA52" s="240"/>
      <c r="AB52" s="240"/>
      <c r="AC52" s="240"/>
      <c r="AD52" s="240"/>
      <c r="AE52" s="240"/>
      <c r="AF52" s="240"/>
      <c r="AG52" s="240"/>
      <c r="AH52" s="240"/>
      <c r="AI52" s="240"/>
      <c r="AJ52" s="240"/>
      <c r="AK52" s="240"/>
      <c r="AL52" s="240"/>
      <c r="AM52" s="240"/>
      <c r="AN52" s="240"/>
      <c r="AO52" s="240"/>
      <c r="AP52" s="240"/>
      <c r="AQ52" s="240"/>
      <c r="AR52" s="240"/>
      <c r="AS52" s="240"/>
      <c r="AT52" s="240"/>
      <c r="AU52" s="240"/>
      <c r="AV52" s="240"/>
      <c r="AW52" s="240"/>
      <c r="AX52" s="240"/>
      <c r="AY52" s="240"/>
      <c r="AZ52" s="240"/>
      <c r="BA52" s="240"/>
    </row>
    <row r="53" spans="17:54" ht="15.75" x14ac:dyDescent="0.25">
      <c r="R53" s="124"/>
      <c r="S53" s="124"/>
      <c r="T53" s="665"/>
      <c r="U53" s="665"/>
      <c r="V53" s="124"/>
      <c r="W53" s="519"/>
      <c r="X53" s="519"/>
      <c r="Y53" s="701"/>
      <c r="Z53" s="701"/>
      <c r="AA53" s="701"/>
      <c r="AB53" s="701"/>
      <c r="AC53" s="701"/>
      <c r="AD53" s="701"/>
      <c r="AE53" s="701"/>
      <c r="AF53" s="701"/>
      <c r="AG53" s="701"/>
      <c r="AH53" s="701"/>
      <c r="AI53" s="701"/>
      <c r="AJ53" s="701"/>
      <c r="AK53" s="701"/>
      <c r="AL53" s="701"/>
      <c r="AM53" s="701"/>
      <c r="AN53" s="701"/>
      <c r="AO53" s="701"/>
      <c r="AP53" s="701"/>
      <c r="AQ53" s="701"/>
      <c r="AR53" s="701"/>
      <c r="AS53" s="701"/>
      <c r="AT53" s="701"/>
      <c r="AU53" s="701"/>
      <c r="AV53" s="701"/>
      <c r="AW53" s="701"/>
      <c r="AX53" s="701"/>
      <c r="AY53" s="701"/>
      <c r="AZ53" s="701"/>
      <c r="BA53" s="701"/>
    </row>
    <row r="54" spans="17:54" ht="15.75" x14ac:dyDescent="0.25">
      <c r="T54" s="166"/>
      <c r="U54" s="166"/>
      <c r="V54" s="124"/>
      <c r="W54" s="123"/>
      <c r="X54" s="123"/>
      <c r="Y54" s="129"/>
      <c r="Z54" s="129"/>
      <c r="AA54" s="129"/>
      <c r="AB54" s="129"/>
      <c r="AC54" s="129"/>
      <c r="AD54" s="129"/>
      <c r="AE54" s="129"/>
      <c r="AF54" s="129"/>
      <c r="AG54" s="129"/>
      <c r="AH54" s="129"/>
      <c r="AI54" s="129"/>
      <c r="AJ54" s="129"/>
      <c r="AK54" s="129"/>
      <c r="AL54" s="129"/>
      <c r="AM54" s="129"/>
      <c r="AN54" s="129"/>
      <c r="AO54" s="129"/>
      <c r="AP54" s="129"/>
      <c r="AQ54" s="129"/>
      <c r="AR54" s="129"/>
      <c r="AS54" s="129"/>
      <c r="AT54" s="129"/>
      <c r="AU54" s="129"/>
      <c r="AV54" s="129"/>
      <c r="AW54" s="129"/>
      <c r="AX54" s="129"/>
      <c r="AY54" s="129"/>
      <c r="AZ54" s="129"/>
      <c r="BA54" s="129"/>
    </row>
    <row r="55" spans="17:54" ht="15.75" x14ac:dyDescent="0.25">
      <c r="T55" s="166"/>
      <c r="U55" s="166"/>
      <c r="V55" s="124"/>
      <c r="W55" s="123"/>
      <c r="X55" s="123"/>
      <c r="Y55" s="129"/>
      <c r="Z55" s="129"/>
      <c r="AA55" s="129"/>
      <c r="AB55" s="129"/>
      <c r="AC55" s="129"/>
      <c r="AD55" s="129"/>
      <c r="AE55" s="129"/>
      <c r="AF55" s="129"/>
      <c r="AG55" s="129"/>
      <c r="AH55" s="129"/>
      <c r="AI55" s="129"/>
      <c r="AJ55" s="129"/>
      <c r="AK55" s="129"/>
      <c r="AL55" s="129"/>
      <c r="AM55" s="129"/>
      <c r="AN55" s="129"/>
      <c r="AO55" s="129"/>
      <c r="AP55" s="129"/>
      <c r="AQ55" s="129"/>
      <c r="AR55" s="129"/>
      <c r="AS55" s="129"/>
      <c r="AT55" s="129"/>
      <c r="AU55" s="129"/>
      <c r="AV55" s="129"/>
      <c r="AW55" s="129"/>
      <c r="AX55" s="129"/>
      <c r="AY55" s="129"/>
      <c r="AZ55" s="129"/>
      <c r="BA55" s="129"/>
    </row>
    <row r="56" spans="17:54" ht="15.75" x14ac:dyDescent="0.25">
      <c r="T56" s="166"/>
      <c r="U56" s="166"/>
      <c r="V56" s="124"/>
      <c r="W56" s="123"/>
      <c r="X56" s="123"/>
      <c r="Y56" s="129"/>
      <c r="Z56" s="129"/>
      <c r="AA56" s="129"/>
      <c r="AB56" s="129"/>
      <c r="AC56" s="129"/>
      <c r="AD56" s="129"/>
      <c r="AE56" s="129"/>
      <c r="AF56" s="129"/>
      <c r="AG56" s="129"/>
      <c r="AH56" s="129"/>
      <c r="AI56" s="129"/>
      <c r="AJ56" s="129"/>
      <c r="AK56" s="129"/>
      <c r="AL56" s="129"/>
      <c r="AM56" s="129"/>
      <c r="AN56" s="129"/>
      <c r="AO56" s="129"/>
      <c r="AP56" s="129"/>
      <c r="AQ56" s="129"/>
      <c r="AR56" s="129"/>
      <c r="AS56" s="129"/>
      <c r="AT56" s="129"/>
      <c r="AU56" s="129"/>
      <c r="AV56" s="129"/>
      <c r="AW56" s="129"/>
      <c r="AX56" s="129"/>
      <c r="AY56" s="129"/>
      <c r="AZ56" s="129"/>
      <c r="BA56" s="129"/>
    </row>
    <row r="57" spans="17:54" ht="15.75" x14ac:dyDescent="0.25">
      <c r="T57" s="166"/>
      <c r="U57" s="166"/>
      <c r="V57" s="124"/>
      <c r="W57" s="123"/>
      <c r="X57" s="123"/>
      <c r="Y57" s="129"/>
      <c r="Z57" s="129"/>
      <c r="AA57" s="129"/>
      <c r="AB57" s="129"/>
      <c r="AC57" s="129"/>
      <c r="AD57" s="129"/>
      <c r="AE57" s="129"/>
      <c r="AF57" s="129"/>
      <c r="AG57" s="129"/>
      <c r="AH57" s="129"/>
      <c r="AI57" s="129"/>
      <c r="AJ57" s="129"/>
      <c r="AK57" s="129"/>
      <c r="AL57" s="129"/>
      <c r="AM57" s="129"/>
      <c r="AN57" s="129"/>
      <c r="AO57" s="129"/>
      <c r="AP57" s="129"/>
      <c r="AQ57" s="129"/>
      <c r="AR57" s="129"/>
      <c r="AS57" s="129"/>
      <c r="AT57" s="129"/>
      <c r="AU57" s="129"/>
      <c r="AV57" s="129"/>
      <c r="AW57" s="129"/>
      <c r="AX57" s="129"/>
      <c r="AY57" s="129"/>
      <c r="AZ57" s="129"/>
      <c r="BA57" s="129"/>
    </row>
    <row r="58" spans="17:54" ht="15.75" x14ac:dyDescent="0.25">
      <c r="T58" s="166"/>
      <c r="U58" s="166"/>
      <c r="V58" s="124"/>
      <c r="W58" s="123"/>
      <c r="X58" s="123"/>
      <c r="Y58" s="129"/>
      <c r="Z58" s="129"/>
      <c r="AA58" s="129"/>
      <c r="AB58" s="129"/>
      <c r="AC58" s="129"/>
      <c r="AD58" s="129"/>
      <c r="AE58" s="129"/>
      <c r="AF58" s="129"/>
      <c r="AG58" s="129"/>
      <c r="AH58" s="129"/>
      <c r="AI58" s="129"/>
      <c r="AJ58" s="129"/>
      <c r="AK58" s="129"/>
      <c r="AL58" s="129"/>
      <c r="AM58" s="129"/>
      <c r="AN58" s="129"/>
      <c r="AO58" s="129"/>
      <c r="AP58" s="129"/>
      <c r="AQ58" s="129"/>
      <c r="AR58" s="129"/>
      <c r="AS58" s="129"/>
      <c r="AT58" s="129"/>
      <c r="AU58" s="129"/>
      <c r="AV58" s="129"/>
      <c r="AW58" s="129"/>
      <c r="AX58" s="129"/>
      <c r="AY58" s="129"/>
      <c r="AZ58" s="129"/>
      <c r="BA58" s="129"/>
    </row>
    <row r="59" spans="17:54" ht="15.75" x14ac:dyDescent="0.25">
      <c r="T59" s="166"/>
      <c r="U59" s="166"/>
      <c r="V59" s="124"/>
      <c r="W59" s="123"/>
      <c r="X59" s="123"/>
      <c r="Y59" s="129"/>
      <c r="Z59" s="129"/>
      <c r="AA59" s="129"/>
      <c r="AB59" s="129"/>
      <c r="AC59" s="129"/>
      <c r="AD59" s="129"/>
      <c r="AE59" s="129"/>
      <c r="AF59" s="129"/>
      <c r="AG59" s="129"/>
      <c r="AH59" s="129"/>
      <c r="AI59" s="129"/>
      <c r="AJ59" s="129"/>
      <c r="AK59" s="129"/>
      <c r="AL59" s="129"/>
      <c r="AM59" s="129"/>
      <c r="AN59" s="129"/>
      <c r="AO59" s="129"/>
      <c r="AP59" s="129"/>
      <c r="AQ59" s="129"/>
      <c r="AR59" s="129"/>
      <c r="AS59" s="129"/>
      <c r="AT59" s="129"/>
      <c r="AU59" s="129"/>
      <c r="AV59" s="129"/>
      <c r="AW59" s="129"/>
      <c r="AX59" s="129"/>
      <c r="AY59" s="129"/>
      <c r="AZ59" s="129"/>
      <c r="BA59" s="129"/>
    </row>
    <row r="60" spans="17:54" ht="15.75" x14ac:dyDescent="0.25">
      <c r="T60" s="166"/>
      <c r="U60" s="166"/>
      <c r="V60" s="124"/>
      <c r="W60" s="123"/>
      <c r="X60" s="123"/>
      <c r="Y60" s="129"/>
      <c r="Z60" s="129"/>
      <c r="AA60" s="129"/>
      <c r="AB60" s="129"/>
      <c r="AC60" s="129"/>
      <c r="AD60" s="129"/>
      <c r="AE60" s="129"/>
      <c r="AF60" s="129"/>
      <c r="AG60" s="129"/>
      <c r="AH60" s="129"/>
      <c r="AI60" s="129"/>
      <c r="AJ60" s="129"/>
      <c r="AK60" s="129"/>
      <c r="AL60" s="129"/>
      <c r="AM60" s="129"/>
      <c r="AN60" s="129"/>
      <c r="AO60" s="129"/>
      <c r="AP60" s="129"/>
      <c r="AQ60" s="129"/>
      <c r="AR60" s="129"/>
      <c r="AS60" s="129"/>
      <c r="AT60" s="129"/>
      <c r="AU60" s="129"/>
      <c r="AV60" s="129"/>
      <c r="AW60" s="129"/>
      <c r="AX60" s="129"/>
      <c r="AY60" s="129"/>
      <c r="AZ60" s="129"/>
      <c r="BA60" s="129"/>
    </row>
    <row r="61" spans="17:54" ht="15.75" x14ac:dyDescent="0.25">
      <c r="T61" s="166"/>
      <c r="U61" s="166"/>
      <c r="V61" s="124"/>
      <c r="W61" s="123"/>
      <c r="X61" s="123"/>
      <c r="Y61" s="129"/>
      <c r="Z61" s="129"/>
      <c r="AA61" s="129"/>
      <c r="AB61" s="129"/>
      <c r="AC61" s="129"/>
      <c r="AD61" s="129"/>
      <c r="AE61" s="129"/>
      <c r="AF61" s="129"/>
      <c r="AG61" s="129"/>
      <c r="AH61" s="129"/>
      <c r="AI61" s="129"/>
      <c r="AJ61" s="129"/>
      <c r="AK61" s="129"/>
      <c r="AL61" s="129"/>
      <c r="AM61" s="129"/>
      <c r="AN61" s="129"/>
      <c r="AO61" s="129"/>
      <c r="AP61" s="129"/>
      <c r="AQ61" s="129"/>
      <c r="AR61" s="129"/>
      <c r="AS61" s="129"/>
      <c r="AT61" s="129"/>
      <c r="AU61" s="129"/>
      <c r="AV61" s="129"/>
      <c r="AW61" s="129"/>
      <c r="AX61" s="129"/>
      <c r="AY61" s="129"/>
      <c r="AZ61" s="129"/>
      <c r="BA61" s="129"/>
    </row>
    <row r="62" spans="17:54" ht="15.75" x14ac:dyDescent="0.25">
      <c r="T62" s="166"/>
      <c r="U62" s="166"/>
      <c r="V62" s="124"/>
      <c r="W62" s="123"/>
      <c r="X62" s="123"/>
      <c r="Y62" s="129"/>
      <c r="Z62" s="129"/>
      <c r="AA62" s="129"/>
      <c r="AB62" s="129"/>
      <c r="AC62" s="129"/>
      <c r="AD62" s="129"/>
      <c r="AE62" s="129"/>
      <c r="AF62" s="129"/>
      <c r="AG62" s="129"/>
      <c r="AH62" s="129"/>
      <c r="AI62" s="129"/>
      <c r="AJ62" s="129"/>
      <c r="AK62" s="129"/>
      <c r="AL62" s="129"/>
      <c r="AM62" s="129"/>
      <c r="AN62" s="129"/>
      <c r="AO62" s="129"/>
      <c r="AP62" s="129"/>
      <c r="AQ62" s="129"/>
      <c r="AR62" s="129"/>
      <c r="AS62" s="129"/>
      <c r="AT62" s="129"/>
      <c r="AU62" s="129"/>
      <c r="AV62" s="129"/>
      <c r="AW62" s="129"/>
      <c r="AX62" s="129"/>
      <c r="AY62" s="129"/>
      <c r="AZ62" s="129"/>
      <c r="BA62" s="129"/>
    </row>
    <row r="63" spans="17:54" ht="15.75" x14ac:dyDescent="0.25">
      <c r="T63" s="166"/>
      <c r="U63" s="166"/>
      <c r="V63" s="124"/>
      <c r="W63" s="123"/>
      <c r="X63" s="123"/>
      <c r="Y63" s="129"/>
      <c r="Z63" s="129"/>
      <c r="AA63" s="129"/>
      <c r="AB63" s="129"/>
      <c r="AC63" s="129"/>
      <c r="AD63" s="129"/>
      <c r="AE63" s="129"/>
      <c r="AF63" s="129"/>
      <c r="AG63" s="129"/>
      <c r="AH63" s="129"/>
      <c r="AI63" s="129"/>
      <c r="AJ63" s="129"/>
      <c r="AK63" s="129"/>
      <c r="AL63" s="129"/>
      <c r="AM63" s="129"/>
      <c r="AN63" s="129"/>
      <c r="AO63" s="129"/>
      <c r="AP63" s="129"/>
      <c r="AQ63" s="129"/>
      <c r="AR63" s="129"/>
      <c r="AS63" s="129"/>
      <c r="AT63" s="129"/>
      <c r="AU63" s="129"/>
      <c r="AV63" s="129"/>
      <c r="AW63" s="129"/>
      <c r="AX63" s="129"/>
      <c r="AY63" s="129"/>
      <c r="AZ63" s="129"/>
      <c r="BA63" s="129"/>
    </row>
    <row r="64" spans="17:54" ht="15.75" x14ac:dyDescent="0.25">
      <c r="T64" s="166"/>
      <c r="U64" s="166"/>
      <c r="V64" s="124"/>
      <c r="W64" s="123"/>
      <c r="X64" s="123"/>
      <c r="Y64" s="129"/>
      <c r="Z64" s="129"/>
      <c r="AA64" s="129"/>
      <c r="AB64" s="129"/>
      <c r="AC64" s="129"/>
      <c r="AD64" s="129"/>
      <c r="AE64" s="129"/>
      <c r="AF64" s="129"/>
      <c r="AG64" s="129"/>
      <c r="AH64" s="129"/>
      <c r="AI64" s="129"/>
      <c r="AJ64" s="129"/>
      <c r="AK64" s="129"/>
      <c r="AL64" s="129"/>
      <c r="AM64" s="129"/>
      <c r="AN64" s="129"/>
      <c r="AO64" s="129"/>
      <c r="AP64" s="129"/>
      <c r="AQ64" s="129"/>
      <c r="AR64" s="129"/>
      <c r="AS64" s="129"/>
      <c r="AT64" s="129"/>
      <c r="AU64" s="129"/>
      <c r="AV64" s="129"/>
      <c r="AW64" s="129"/>
      <c r="AX64" s="129"/>
      <c r="AY64" s="129"/>
      <c r="AZ64" s="129"/>
      <c r="BA64" s="129"/>
    </row>
    <row r="65" spans="20:53" ht="15.75" x14ac:dyDescent="0.25">
      <c r="T65" s="166"/>
      <c r="U65" s="166"/>
      <c r="V65" s="124"/>
      <c r="W65" s="123"/>
      <c r="X65" s="123"/>
      <c r="Y65" s="129"/>
      <c r="Z65" s="129"/>
      <c r="AA65" s="129"/>
      <c r="AB65" s="129"/>
      <c r="AC65" s="129"/>
      <c r="AD65" s="129"/>
      <c r="AE65" s="129"/>
      <c r="AF65" s="129"/>
      <c r="AG65" s="129"/>
      <c r="AH65" s="129"/>
      <c r="AI65" s="129"/>
      <c r="AJ65" s="129"/>
      <c r="AK65" s="129"/>
      <c r="AL65" s="129"/>
      <c r="AM65" s="129"/>
      <c r="AN65" s="129"/>
      <c r="AO65" s="129"/>
      <c r="AP65" s="129"/>
      <c r="AQ65" s="129"/>
      <c r="AR65" s="129"/>
      <c r="AS65" s="129"/>
      <c r="AT65" s="129"/>
      <c r="AU65" s="129"/>
      <c r="AV65" s="129"/>
      <c r="AW65" s="129"/>
      <c r="AX65" s="129"/>
      <c r="AY65" s="129"/>
      <c r="AZ65" s="129"/>
      <c r="BA65" s="129"/>
    </row>
    <row r="66" spans="20:53" ht="15.75" x14ac:dyDescent="0.25">
      <c r="T66" s="166"/>
      <c r="U66" s="166"/>
      <c r="V66" s="124"/>
      <c r="W66" s="123"/>
      <c r="X66" s="123"/>
      <c r="Y66" s="129"/>
      <c r="Z66" s="129"/>
      <c r="AA66" s="129"/>
      <c r="AB66" s="129"/>
      <c r="AC66" s="129"/>
      <c r="AD66" s="129"/>
      <c r="AE66" s="129"/>
      <c r="AF66" s="129"/>
      <c r="AG66" s="129"/>
      <c r="AH66" s="129"/>
      <c r="AI66" s="129"/>
      <c r="AJ66" s="129"/>
      <c r="AK66" s="129"/>
      <c r="AL66" s="129"/>
      <c r="AM66" s="129"/>
      <c r="AN66" s="129"/>
      <c r="AO66" s="129"/>
      <c r="AP66" s="129"/>
      <c r="AQ66" s="129"/>
      <c r="AR66" s="129"/>
      <c r="AS66" s="129"/>
      <c r="AT66" s="129"/>
      <c r="AU66" s="129"/>
      <c r="AV66" s="129"/>
      <c r="AW66" s="129"/>
      <c r="AX66" s="129"/>
      <c r="AY66" s="129"/>
      <c r="AZ66" s="129"/>
      <c r="BA66" s="129"/>
    </row>
    <row r="67" spans="20:53" ht="15.75" x14ac:dyDescent="0.25">
      <c r="T67" s="166"/>
      <c r="U67" s="166"/>
      <c r="V67" s="124"/>
      <c r="W67" s="123"/>
      <c r="X67" s="123"/>
      <c r="Y67" s="129"/>
      <c r="Z67" s="129"/>
      <c r="AA67" s="129"/>
      <c r="AB67" s="129"/>
      <c r="AC67" s="129"/>
      <c r="AD67" s="129"/>
      <c r="AE67" s="129"/>
      <c r="AF67" s="129"/>
      <c r="AG67" s="129"/>
      <c r="AH67" s="129"/>
      <c r="AI67" s="129"/>
      <c r="AJ67" s="129"/>
      <c r="AK67" s="129"/>
      <c r="AL67" s="129"/>
      <c r="AM67" s="129"/>
      <c r="AN67" s="129"/>
      <c r="AO67" s="129"/>
      <c r="AP67" s="129"/>
      <c r="AQ67" s="129"/>
      <c r="AR67" s="129"/>
      <c r="AS67" s="129"/>
      <c r="AT67" s="129"/>
      <c r="AU67" s="129"/>
      <c r="AV67" s="129"/>
      <c r="AW67" s="129"/>
      <c r="AX67" s="129"/>
      <c r="AY67" s="129"/>
      <c r="AZ67" s="129"/>
      <c r="BA67" s="129"/>
    </row>
    <row r="68" spans="20:53" ht="15.75" x14ac:dyDescent="0.25">
      <c r="T68" s="166"/>
      <c r="U68" s="166"/>
      <c r="V68" s="124"/>
      <c r="W68" s="123"/>
      <c r="X68" s="123"/>
      <c r="Y68" s="129"/>
      <c r="Z68" s="129"/>
      <c r="AA68" s="129"/>
      <c r="AB68" s="129"/>
      <c r="AC68" s="129"/>
      <c r="AD68" s="129"/>
      <c r="AE68" s="129"/>
      <c r="AF68" s="129"/>
      <c r="AG68" s="129"/>
      <c r="AH68" s="129"/>
      <c r="AI68" s="129"/>
      <c r="AJ68" s="129"/>
      <c r="AK68" s="129"/>
      <c r="AL68" s="129"/>
      <c r="AM68" s="129"/>
      <c r="AN68" s="129"/>
      <c r="AO68" s="129"/>
      <c r="AP68" s="129"/>
      <c r="AQ68" s="129"/>
      <c r="AR68" s="129"/>
      <c r="AS68" s="129"/>
      <c r="AT68" s="129"/>
      <c r="AU68" s="129"/>
      <c r="AV68" s="129"/>
      <c r="AW68" s="129"/>
      <c r="AX68" s="129"/>
      <c r="AY68" s="129"/>
      <c r="AZ68" s="129"/>
      <c r="BA68" s="129"/>
    </row>
    <row r="69" spans="20:53" ht="15.75" x14ac:dyDescent="0.25">
      <c r="T69" s="166"/>
      <c r="U69" s="166"/>
      <c r="V69" s="124"/>
      <c r="W69" s="123"/>
      <c r="X69" s="123"/>
      <c r="Y69" s="129"/>
      <c r="Z69" s="129"/>
      <c r="AA69" s="129"/>
      <c r="AB69" s="129"/>
      <c r="AC69" s="129"/>
      <c r="AD69" s="129"/>
      <c r="AE69" s="129"/>
      <c r="AF69" s="129"/>
      <c r="AG69" s="129"/>
      <c r="AH69" s="129"/>
      <c r="AI69" s="129"/>
      <c r="AJ69" s="129"/>
      <c r="AK69" s="129"/>
      <c r="AL69" s="129"/>
      <c r="AM69" s="129"/>
      <c r="AN69" s="129"/>
      <c r="AO69" s="129"/>
      <c r="AP69" s="129"/>
      <c r="AQ69" s="129"/>
      <c r="AR69" s="129"/>
      <c r="AS69" s="129"/>
      <c r="AT69" s="129"/>
      <c r="AU69" s="129"/>
      <c r="AV69" s="129"/>
      <c r="AW69" s="129"/>
      <c r="AX69" s="129"/>
      <c r="AY69" s="129"/>
      <c r="AZ69" s="129"/>
      <c r="BA69" s="129"/>
    </row>
    <row r="70" spans="20:53" ht="15.75" x14ac:dyDescent="0.25">
      <c r="T70" s="166"/>
      <c r="U70" s="166"/>
      <c r="V70" s="124"/>
      <c r="W70" s="123"/>
      <c r="X70" s="123"/>
      <c r="Y70" s="129"/>
      <c r="Z70" s="129"/>
      <c r="AA70" s="129"/>
      <c r="AB70" s="129"/>
      <c r="AC70" s="129"/>
      <c r="AD70" s="129"/>
      <c r="AE70" s="129"/>
      <c r="AF70" s="129"/>
      <c r="AG70" s="129"/>
      <c r="AH70" s="129"/>
      <c r="AI70" s="129"/>
      <c r="AJ70" s="129"/>
      <c r="AK70" s="129"/>
      <c r="AL70" s="129"/>
      <c r="AM70" s="129"/>
      <c r="AN70" s="129"/>
      <c r="AO70" s="129"/>
      <c r="AP70" s="129"/>
      <c r="AQ70" s="129"/>
      <c r="AR70" s="129"/>
      <c r="AS70" s="129"/>
      <c r="AT70" s="129"/>
      <c r="AU70" s="129"/>
      <c r="AV70" s="129"/>
      <c r="AW70" s="129"/>
      <c r="AX70" s="129"/>
      <c r="AY70" s="129"/>
      <c r="AZ70" s="129"/>
      <c r="BA70" s="129"/>
    </row>
    <row r="71" spans="20:53" ht="15.75" x14ac:dyDescent="0.25">
      <c r="T71" s="166"/>
      <c r="U71" s="166"/>
      <c r="V71" s="124"/>
      <c r="W71" s="123"/>
      <c r="X71" s="123"/>
      <c r="Y71" s="129"/>
      <c r="Z71" s="129"/>
      <c r="AA71" s="129"/>
      <c r="AB71" s="129"/>
      <c r="AC71" s="129"/>
      <c r="AD71" s="129"/>
      <c r="AE71" s="129"/>
      <c r="AF71" s="129"/>
      <c r="AG71" s="129"/>
      <c r="AH71" s="129"/>
      <c r="AI71" s="129"/>
      <c r="AJ71" s="129"/>
      <c r="AK71" s="129"/>
      <c r="AL71" s="129"/>
      <c r="AM71" s="129"/>
      <c r="AN71" s="129"/>
      <c r="AO71" s="129"/>
      <c r="AP71" s="129"/>
      <c r="AQ71" s="129"/>
      <c r="AR71" s="129"/>
      <c r="AS71" s="129"/>
      <c r="AT71" s="129"/>
      <c r="AU71" s="129"/>
      <c r="AV71" s="129"/>
      <c r="AW71" s="129"/>
      <c r="AX71" s="129"/>
      <c r="AY71" s="129"/>
      <c r="AZ71" s="129"/>
      <c r="BA71" s="129"/>
    </row>
    <row r="72" spans="20:53" ht="15.75" x14ac:dyDescent="0.25">
      <c r="T72" s="166"/>
      <c r="U72" s="166"/>
      <c r="V72" s="124"/>
      <c r="W72" s="123"/>
      <c r="X72" s="123"/>
      <c r="Y72" s="129"/>
      <c r="Z72" s="129"/>
      <c r="AA72" s="129"/>
      <c r="AB72" s="129"/>
      <c r="AC72" s="129"/>
      <c r="AD72" s="129"/>
      <c r="AE72" s="129"/>
      <c r="AF72" s="129"/>
      <c r="AG72" s="129"/>
      <c r="AH72" s="129"/>
      <c r="AI72" s="129"/>
      <c r="AJ72" s="129"/>
      <c r="AK72" s="129"/>
      <c r="AL72" s="129"/>
      <c r="AM72" s="129"/>
      <c r="AN72" s="129"/>
      <c r="AO72" s="129"/>
      <c r="AP72" s="129"/>
      <c r="AQ72" s="129"/>
      <c r="AR72" s="129"/>
      <c r="AS72" s="129"/>
      <c r="AT72" s="129"/>
      <c r="AU72" s="129"/>
      <c r="AV72" s="129"/>
      <c r="AW72" s="129"/>
      <c r="AX72" s="129"/>
      <c r="AY72" s="129"/>
      <c r="AZ72" s="129"/>
      <c r="BA72" s="129"/>
    </row>
    <row r="73" spans="20:53" ht="15.75" x14ac:dyDescent="0.25">
      <c r="T73" s="166"/>
      <c r="U73" s="166"/>
      <c r="V73" s="124"/>
      <c r="W73" s="123"/>
      <c r="X73" s="123"/>
      <c r="Y73" s="129"/>
      <c r="Z73" s="129"/>
      <c r="AA73" s="129"/>
      <c r="AB73" s="129"/>
      <c r="AC73" s="129"/>
      <c r="AD73" s="129"/>
      <c r="AE73" s="129"/>
      <c r="AF73" s="129"/>
      <c r="AG73" s="129"/>
      <c r="AH73" s="129"/>
      <c r="AI73" s="129"/>
      <c r="AJ73" s="129"/>
      <c r="AK73" s="129"/>
      <c r="AL73" s="129"/>
      <c r="AM73" s="129"/>
      <c r="AN73" s="129"/>
      <c r="AO73" s="129"/>
      <c r="AP73" s="129"/>
      <c r="AQ73" s="129"/>
      <c r="AR73" s="129"/>
      <c r="AS73" s="129"/>
      <c r="AT73" s="129"/>
      <c r="AU73" s="129"/>
      <c r="AV73" s="129"/>
      <c r="AW73" s="129"/>
      <c r="AX73" s="129"/>
      <c r="AY73" s="129"/>
      <c r="AZ73" s="129"/>
      <c r="BA73" s="129"/>
    </row>
    <row r="74" spans="20:53" ht="15.75" x14ac:dyDescent="0.25">
      <c r="T74" s="166"/>
      <c r="U74" s="166"/>
      <c r="V74" s="124"/>
      <c r="W74" s="123"/>
      <c r="X74" s="123"/>
      <c r="Y74" s="129"/>
      <c r="Z74" s="129"/>
      <c r="AA74" s="129"/>
      <c r="AB74" s="129"/>
      <c r="AC74" s="129"/>
      <c r="AD74" s="129"/>
      <c r="AE74" s="129"/>
      <c r="AF74" s="129"/>
      <c r="AG74" s="129"/>
      <c r="AH74" s="129"/>
      <c r="AI74" s="129"/>
      <c r="AJ74" s="129"/>
      <c r="AK74" s="129"/>
      <c r="AL74" s="129"/>
      <c r="AM74" s="129"/>
      <c r="AN74" s="129"/>
      <c r="AO74" s="129"/>
      <c r="AP74" s="129"/>
      <c r="AQ74" s="129"/>
      <c r="AR74" s="129"/>
      <c r="AS74" s="129"/>
      <c r="AT74" s="129"/>
      <c r="AU74" s="129"/>
      <c r="AV74" s="129"/>
      <c r="AW74" s="129"/>
      <c r="AX74" s="129"/>
      <c r="AY74" s="129"/>
      <c r="AZ74" s="129"/>
      <c r="BA74" s="129"/>
    </row>
    <row r="75" spans="20:53" ht="15.75" x14ac:dyDescent="0.25">
      <c r="T75" s="166"/>
      <c r="U75" s="166"/>
      <c r="V75" s="124"/>
      <c r="W75" s="124"/>
      <c r="X75" s="123"/>
      <c r="Y75" s="129"/>
      <c r="Z75" s="129"/>
      <c r="AA75" s="129"/>
      <c r="AB75" s="129"/>
      <c r="AC75" s="129"/>
      <c r="AD75" s="129"/>
      <c r="AE75" s="129"/>
      <c r="AF75" s="129"/>
      <c r="AG75" s="129"/>
      <c r="AH75" s="129"/>
      <c r="AI75" s="129"/>
      <c r="AJ75" s="129"/>
      <c r="AK75" s="129"/>
      <c r="AL75" s="129"/>
      <c r="AM75" s="129"/>
      <c r="AN75" s="129"/>
      <c r="AO75" s="129"/>
      <c r="AP75" s="129"/>
      <c r="AQ75" s="129"/>
      <c r="AR75" s="129"/>
      <c r="AS75" s="129"/>
      <c r="AT75" s="129"/>
      <c r="AU75" s="129"/>
      <c r="AV75" s="129"/>
      <c r="AW75" s="129"/>
      <c r="AX75" s="129"/>
      <c r="AY75" s="129"/>
      <c r="AZ75" s="129"/>
      <c r="BA75" s="129"/>
    </row>
    <row r="76" spans="20:53" ht="15.75" x14ac:dyDescent="0.25">
      <c r="T76" s="166"/>
      <c r="U76" s="166"/>
      <c r="V76" s="124"/>
      <c r="W76" s="124"/>
      <c r="X76" s="123"/>
      <c r="Y76" s="129"/>
      <c r="Z76" s="129"/>
      <c r="AA76" s="129"/>
      <c r="AB76" s="129"/>
      <c r="AC76" s="129"/>
      <c r="AD76" s="129"/>
      <c r="AE76" s="129"/>
      <c r="AF76" s="129"/>
      <c r="AG76" s="129"/>
      <c r="AH76" s="129"/>
      <c r="AI76" s="129"/>
      <c r="AJ76" s="129"/>
      <c r="AK76" s="129"/>
      <c r="AL76" s="129"/>
      <c r="AM76" s="129"/>
      <c r="AN76" s="129"/>
      <c r="AO76" s="129"/>
      <c r="AP76" s="129"/>
      <c r="AQ76" s="129"/>
      <c r="AR76" s="129"/>
      <c r="AS76" s="129"/>
      <c r="AT76" s="129"/>
      <c r="AU76" s="129"/>
      <c r="AV76" s="129"/>
      <c r="AW76" s="129"/>
      <c r="AX76" s="129"/>
      <c r="AY76" s="129"/>
      <c r="AZ76" s="129"/>
      <c r="BA76" s="129"/>
    </row>
    <row r="77" spans="20:53" ht="15.75" x14ac:dyDescent="0.25">
      <c r="T77" s="166"/>
      <c r="U77" s="166"/>
      <c r="V77" s="124"/>
      <c r="W77" s="124"/>
      <c r="X77" s="124"/>
      <c r="Y77" s="129"/>
      <c r="Z77" s="129"/>
      <c r="AA77" s="129"/>
      <c r="AB77" s="129"/>
      <c r="AC77" s="129"/>
      <c r="AD77" s="129"/>
      <c r="AE77" s="129"/>
      <c r="AF77" s="129"/>
      <c r="AG77" s="129"/>
      <c r="AH77" s="129"/>
      <c r="AI77" s="129"/>
      <c r="AJ77" s="129"/>
      <c r="AK77" s="129"/>
      <c r="AL77" s="129"/>
      <c r="AM77" s="129"/>
      <c r="AN77" s="129"/>
      <c r="AO77" s="129"/>
      <c r="AP77" s="129"/>
      <c r="AQ77" s="129"/>
      <c r="AR77" s="129"/>
      <c r="AS77" s="129"/>
      <c r="AT77" s="129"/>
      <c r="AU77" s="129"/>
      <c r="AV77" s="129"/>
      <c r="AW77" s="129"/>
      <c r="AX77" s="129"/>
      <c r="AY77" s="129"/>
      <c r="AZ77" s="129"/>
      <c r="BA77" s="129"/>
    </row>
    <row r="78" spans="20:53" ht="15.75" x14ac:dyDescent="0.25">
      <c r="T78" s="166"/>
      <c r="U78" s="166"/>
      <c r="V78" s="124"/>
      <c r="W78" s="124"/>
      <c r="X78" s="124"/>
      <c r="Y78" s="129"/>
      <c r="Z78" s="129"/>
      <c r="AA78" s="129"/>
      <c r="AB78" s="129"/>
      <c r="AC78" s="129"/>
      <c r="AD78" s="129"/>
      <c r="AE78" s="129"/>
      <c r="AF78" s="129"/>
      <c r="AG78" s="129"/>
      <c r="AH78" s="129"/>
      <c r="AI78" s="129"/>
      <c r="AJ78" s="129"/>
      <c r="AK78" s="129"/>
      <c r="AL78" s="129"/>
      <c r="AM78" s="129"/>
      <c r="AN78" s="129"/>
      <c r="AO78" s="129"/>
      <c r="AP78" s="129"/>
      <c r="AQ78" s="129"/>
      <c r="AR78" s="129"/>
      <c r="AS78" s="129"/>
      <c r="AT78" s="129"/>
      <c r="AU78" s="129"/>
      <c r="AV78" s="129"/>
      <c r="AW78" s="129"/>
      <c r="AX78" s="129"/>
      <c r="AY78" s="129"/>
      <c r="AZ78" s="129"/>
      <c r="BA78" s="129"/>
    </row>
    <row r="79" spans="20:53" ht="15.75" x14ac:dyDescent="0.25">
      <c r="T79" s="166"/>
      <c r="U79" s="166"/>
      <c r="V79" s="124"/>
      <c r="W79" s="124"/>
      <c r="X79" s="124"/>
      <c r="Y79" s="129"/>
      <c r="Z79" s="129"/>
      <c r="AA79" s="129"/>
      <c r="AB79" s="129"/>
      <c r="AC79" s="129"/>
      <c r="AD79" s="129"/>
      <c r="AE79" s="129"/>
      <c r="AF79" s="129"/>
      <c r="AG79" s="129"/>
      <c r="AH79" s="129"/>
      <c r="AI79" s="129"/>
      <c r="AJ79" s="129"/>
      <c r="AK79" s="129"/>
      <c r="AL79" s="129"/>
      <c r="AM79" s="129"/>
      <c r="AN79" s="129"/>
      <c r="AO79" s="129"/>
      <c r="AP79" s="129"/>
      <c r="AQ79" s="129"/>
      <c r="AR79" s="129"/>
      <c r="AS79" s="129"/>
      <c r="AT79" s="129"/>
      <c r="AU79" s="129"/>
      <c r="AV79" s="129"/>
      <c r="AW79" s="129"/>
      <c r="AX79" s="129"/>
      <c r="AY79" s="129"/>
      <c r="AZ79" s="129"/>
      <c r="BA79" s="129"/>
    </row>
    <row r="80" spans="20:53" ht="15.75" x14ac:dyDescent="0.25">
      <c r="T80" s="166"/>
      <c r="U80" s="166"/>
      <c r="V80" s="124"/>
      <c r="W80" s="124"/>
      <c r="X80" s="124"/>
      <c r="Y80" s="129"/>
      <c r="Z80" s="129"/>
      <c r="AA80" s="129"/>
      <c r="AB80" s="129"/>
      <c r="AC80" s="129"/>
      <c r="AD80" s="129"/>
      <c r="AE80" s="129"/>
      <c r="AF80" s="129"/>
      <c r="AG80" s="129"/>
      <c r="AH80" s="129"/>
      <c r="AI80" s="129"/>
      <c r="AJ80" s="129"/>
      <c r="AK80" s="129"/>
      <c r="AL80" s="129"/>
      <c r="AM80" s="129"/>
      <c r="AN80" s="129"/>
      <c r="AO80" s="129"/>
      <c r="AP80" s="129"/>
      <c r="AQ80" s="129"/>
      <c r="AR80" s="129"/>
      <c r="AS80" s="129"/>
      <c r="AT80" s="129"/>
      <c r="AU80" s="129"/>
      <c r="AV80" s="129"/>
      <c r="AW80" s="129"/>
      <c r="AX80" s="129"/>
      <c r="AY80" s="129"/>
      <c r="AZ80" s="129"/>
      <c r="BA80" s="129"/>
    </row>
    <row r="81" spans="20:53" ht="15.75" x14ac:dyDescent="0.25">
      <c r="T81" s="149"/>
      <c r="U81" s="149"/>
      <c r="V81" s="124"/>
      <c r="W81" s="124"/>
      <c r="X81" s="124"/>
      <c r="Y81" s="129"/>
      <c r="Z81" s="129"/>
      <c r="AA81" s="129"/>
      <c r="AB81" s="129"/>
      <c r="AC81" s="129"/>
      <c r="AD81" s="129"/>
      <c r="AE81" s="129"/>
      <c r="AF81" s="129"/>
      <c r="AG81" s="129"/>
      <c r="AH81" s="129"/>
      <c r="AI81" s="129"/>
      <c r="AJ81" s="129"/>
      <c r="AK81" s="129"/>
      <c r="AL81" s="129"/>
      <c r="AM81" s="129"/>
      <c r="AN81" s="129"/>
      <c r="AO81" s="129"/>
      <c r="AP81" s="129"/>
      <c r="AQ81" s="129"/>
      <c r="AR81" s="129"/>
      <c r="AS81" s="129"/>
      <c r="AT81" s="129"/>
      <c r="AU81" s="129"/>
      <c r="AV81" s="129"/>
      <c r="AW81" s="129"/>
      <c r="AX81" s="129"/>
      <c r="AY81" s="129"/>
      <c r="AZ81" s="129"/>
      <c r="BA81" s="129"/>
    </row>
    <row r="82" spans="20:53" ht="15.75" x14ac:dyDescent="0.25">
      <c r="T82" s="149"/>
      <c r="U82" s="149"/>
      <c r="V82" s="124"/>
      <c r="W82" s="124"/>
      <c r="X82" s="124"/>
      <c r="Y82" s="129"/>
      <c r="Z82" s="129"/>
      <c r="AA82" s="129"/>
      <c r="AB82" s="129"/>
      <c r="AC82" s="129"/>
      <c r="AD82" s="129"/>
      <c r="AE82" s="129"/>
      <c r="AF82" s="129"/>
      <c r="AG82" s="129"/>
      <c r="AH82" s="129"/>
      <c r="AI82" s="129"/>
      <c r="AJ82" s="129"/>
      <c r="AK82" s="129"/>
      <c r="AL82" s="129"/>
      <c r="AM82" s="129"/>
      <c r="AN82" s="129"/>
      <c r="AO82" s="129"/>
      <c r="AP82" s="129"/>
      <c r="AQ82" s="129"/>
      <c r="AR82" s="129"/>
      <c r="AS82" s="129"/>
      <c r="AT82" s="129"/>
      <c r="AU82" s="129"/>
      <c r="AV82" s="129"/>
      <c r="AW82" s="129"/>
      <c r="AX82" s="129"/>
      <c r="AY82" s="129"/>
      <c r="AZ82" s="129"/>
      <c r="BA82" s="129"/>
    </row>
    <row r="83" spans="20:53" ht="15.75" x14ac:dyDescent="0.25">
      <c r="T83" s="149"/>
      <c r="U83" s="149"/>
      <c r="V83" s="124"/>
      <c r="W83" s="124"/>
      <c r="X83" s="123"/>
      <c r="Y83" s="129"/>
      <c r="Z83" s="129"/>
      <c r="AA83" s="129"/>
      <c r="AB83" s="129"/>
      <c r="AC83" s="129"/>
      <c r="AD83" s="129"/>
      <c r="AE83" s="129"/>
      <c r="AF83" s="129"/>
      <c r="AG83" s="129"/>
      <c r="AH83" s="129"/>
      <c r="AI83" s="129"/>
      <c r="AJ83" s="129"/>
      <c r="AK83" s="129"/>
      <c r="AL83" s="129"/>
      <c r="AM83" s="129"/>
      <c r="AN83" s="129"/>
      <c r="AO83" s="129"/>
      <c r="AP83" s="129"/>
      <c r="AQ83" s="129"/>
      <c r="AR83" s="129"/>
      <c r="AS83" s="129"/>
      <c r="AT83" s="129"/>
      <c r="AU83" s="129"/>
      <c r="AV83" s="129"/>
      <c r="AW83" s="129"/>
      <c r="AX83" s="129"/>
      <c r="AY83" s="129"/>
      <c r="AZ83" s="129"/>
      <c r="BA83" s="129"/>
    </row>
    <row r="84" spans="20:53" ht="15.75" x14ac:dyDescent="0.25">
      <c r="T84" s="149"/>
      <c r="U84" s="149"/>
      <c r="V84" s="124"/>
      <c r="W84" s="124"/>
      <c r="X84" s="123"/>
      <c r="Y84" s="129"/>
      <c r="Z84" s="129"/>
      <c r="AA84" s="129"/>
      <c r="AB84" s="129"/>
      <c r="AC84" s="129"/>
      <c r="AD84" s="129"/>
      <c r="AE84" s="129"/>
      <c r="AF84" s="129"/>
      <c r="AG84" s="129"/>
      <c r="AH84" s="129"/>
      <c r="AI84" s="129"/>
      <c r="AJ84" s="129"/>
      <c r="AK84" s="129"/>
      <c r="AL84" s="129"/>
      <c r="AM84" s="129"/>
      <c r="AN84" s="129"/>
      <c r="AO84" s="129"/>
      <c r="AP84" s="129"/>
      <c r="AQ84" s="129"/>
      <c r="AR84" s="129"/>
      <c r="AS84" s="129"/>
      <c r="AT84" s="129"/>
      <c r="AU84" s="129"/>
      <c r="AV84" s="129"/>
      <c r="AW84" s="129"/>
      <c r="AX84" s="129"/>
      <c r="AY84" s="129"/>
      <c r="AZ84" s="129"/>
      <c r="BA84" s="129"/>
    </row>
    <row r="85" spans="20:53" ht="15.75" x14ac:dyDescent="0.25">
      <c r="T85" s="149"/>
      <c r="U85" s="149"/>
      <c r="V85" s="124"/>
      <c r="W85" s="124"/>
      <c r="X85" s="123"/>
      <c r="Y85" s="129"/>
      <c r="Z85" s="129"/>
      <c r="AA85" s="129"/>
      <c r="AB85" s="129"/>
      <c r="AC85" s="129"/>
      <c r="AD85" s="129"/>
      <c r="AE85" s="129"/>
      <c r="AF85" s="129"/>
      <c r="AG85" s="129"/>
      <c r="AH85" s="129"/>
      <c r="AI85" s="129"/>
      <c r="AJ85" s="129"/>
      <c r="AK85" s="129"/>
      <c r="AL85" s="129"/>
      <c r="AM85" s="129"/>
      <c r="AN85" s="129"/>
      <c r="AO85" s="129"/>
      <c r="AP85" s="129"/>
      <c r="AQ85" s="129"/>
      <c r="AR85" s="129"/>
      <c r="AS85" s="129"/>
      <c r="AT85" s="129"/>
      <c r="AU85" s="129"/>
      <c r="AV85" s="129"/>
      <c r="AW85" s="129"/>
      <c r="AX85" s="129"/>
      <c r="AY85" s="129"/>
      <c r="AZ85" s="129"/>
      <c r="BA85" s="129"/>
    </row>
    <row r="86" spans="20:53" ht="15.75" x14ac:dyDescent="0.25">
      <c r="T86" s="166"/>
      <c r="U86" s="166"/>
      <c r="V86" s="124"/>
      <c r="W86" s="124"/>
      <c r="X86" s="123"/>
      <c r="Y86" s="129"/>
      <c r="Z86" s="129"/>
      <c r="AA86" s="129"/>
      <c r="AB86" s="129"/>
      <c r="AC86" s="129"/>
      <c r="AD86" s="129"/>
      <c r="AE86" s="129"/>
      <c r="AF86" s="129"/>
      <c r="AG86" s="129"/>
      <c r="AH86" s="129"/>
      <c r="AI86" s="129"/>
      <c r="AJ86" s="129"/>
      <c r="AK86" s="129"/>
      <c r="AL86" s="129"/>
      <c r="AM86" s="129"/>
      <c r="AN86" s="129"/>
      <c r="AO86" s="129"/>
      <c r="AP86" s="129"/>
      <c r="AQ86" s="129"/>
      <c r="AR86" s="129"/>
      <c r="AS86" s="129"/>
      <c r="AT86" s="129"/>
      <c r="AU86" s="129"/>
      <c r="AV86" s="129"/>
      <c r="AW86" s="129"/>
      <c r="AX86" s="129"/>
      <c r="AY86" s="129"/>
      <c r="AZ86" s="129"/>
      <c r="BA86" s="129"/>
    </row>
    <row r="87" spans="20:53" ht="15.75" x14ac:dyDescent="0.25">
      <c r="T87" s="15"/>
      <c r="U87" s="15"/>
      <c r="V87" s="124"/>
      <c r="W87" s="124"/>
      <c r="X87" s="123"/>
      <c r="Y87" s="129"/>
      <c r="Z87" s="129"/>
      <c r="AA87" s="129"/>
      <c r="AB87" s="129"/>
      <c r="AC87" s="129"/>
      <c r="AD87" s="129"/>
      <c r="AE87" s="129"/>
      <c r="AF87" s="129"/>
      <c r="AG87" s="129"/>
      <c r="AH87" s="129"/>
      <c r="AI87" s="129"/>
      <c r="AJ87" s="129"/>
      <c r="AK87" s="129"/>
      <c r="AL87" s="129"/>
      <c r="AM87" s="129"/>
      <c r="AN87" s="129"/>
      <c r="AO87" s="129"/>
      <c r="AP87" s="129"/>
      <c r="AQ87" s="129"/>
      <c r="AR87" s="129"/>
      <c r="AS87" s="129"/>
      <c r="AT87" s="129"/>
      <c r="AU87" s="129"/>
      <c r="AV87" s="129"/>
      <c r="AW87" s="129"/>
      <c r="AX87" s="129"/>
      <c r="AY87" s="129"/>
      <c r="AZ87" s="129"/>
      <c r="BA87" s="129"/>
    </row>
    <row r="88" spans="20:53" ht="15.75" x14ac:dyDescent="0.25">
      <c r="T88" s="15"/>
      <c r="U88" s="15"/>
      <c r="V88" s="124"/>
      <c r="W88" s="124"/>
      <c r="X88" s="124"/>
      <c r="Y88" s="240"/>
      <c r="Z88" s="240"/>
      <c r="AA88" s="240"/>
      <c r="AB88" s="240"/>
      <c r="AC88" s="240"/>
      <c r="AD88" s="240"/>
      <c r="AE88" s="240"/>
      <c r="AF88" s="240"/>
      <c r="AG88" s="240"/>
      <c r="AH88" s="240"/>
      <c r="AI88" s="240"/>
      <c r="AJ88" s="240"/>
      <c r="AK88" s="240"/>
      <c r="AL88" s="240"/>
      <c r="AM88" s="240"/>
      <c r="AN88" s="240"/>
      <c r="AO88" s="240"/>
      <c r="AP88" s="240"/>
      <c r="AQ88" s="240"/>
      <c r="AR88" s="240"/>
      <c r="AS88" s="240"/>
      <c r="AT88" s="240"/>
      <c r="AU88" s="240"/>
      <c r="AV88" s="240"/>
      <c r="AW88" s="240"/>
      <c r="AX88" s="240"/>
      <c r="AY88" s="240"/>
      <c r="AZ88" s="240"/>
      <c r="BA88" s="240"/>
    </row>
    <row r="89" spans="20:53" ht="15.75" x14ac:dyDescent="0.25">
      <c r="T89" s="15"/>
      <c r="U89" s="15"/>
      <c r="V89" s="124"/>
      <c r="W89" s="124"/>
      <c r="X89" s="123"/>
      <c r="Y89" s="129"/>
      <c r="Z89" s="129"/>
      <c r="AA89" s="129"/>
      <c r="AB89" s="129"/>
      <c r="AC89" s="129"/>
      <c r="AD89" s="129"/>
      <c r="AE89" s="129"/>
      <c r="AF89" s="129"/>
      <c r="AG89" s="129"/>
      <c r="AH89" s="129"/>
      <c r="AI89" s="129"/>
      <c r="AJ89" s="129"/>
      <c r="AK89" s="129"/>
      <c r="AL89" s="129"/>
      <c r="AM89" s="129"/>
      <c r="AN89" s="129"/>
      <c r="AO89" s="129"/>
      <c r="AP89" s="129"/>
      <c r="AQ89" s="129"/>
      <c r="AR89" s="129"/>
      <c r="AS89" s="129"/>
      <c r="AT89" s="129"/>
      <c r="AU89" s="129"/>
      <c r="AV89" s="129"/>
      <c r="AW89" s="129"/>
      <c r="AX89" s="129"/>
      <c r="AY89" s="129"/>
      <c r="AZ89" s="129"/>
      <c r="BA89" s="129"/>
    </row>
    <row r="90" spans="20:53" ht="15.75" x14ac:dyDescent="0.25">
      <c r="T90" s="166"/>
      <c r="U90" s="166"/>
      <c r="Y90" s="520"/>
      <c r="Z90" s="520"/>
      <c r="AA90" s="520"/>
      <c r="AB90" s="520"/>
      <c r="AC90" s="520"/>
      <c r="AD90" s="520"/>
      <c r="AE90" s="520"/>
      <c r="AF90" s="520"/>
      <c r="AG90" s="520"/>
      <c r="AH90" s="520"/>
      <c r="AI90" s="520"/>
      <c r="AJ90" s="520"/>
      <c r="AK90" s="520"/>
      <c r="AL90" s="520"/>
      <c r="AM90" s="520"/>
      <c r="AN90" s="520"/>
      <c r="AO90" s="520"/>
      <c r="AP90" s="520"/>
      <c r="AQ90" s="520"/>
      <c r="AR90" s="520"/>
      <c r="AS90" s="520"/>
      <c r="AT90" s="520"/>
      <c r="AU90" s="520"/>
      <c r="AV90" s="520"/>
      <c r="AW90" s="520"/>
      <c r="AX90" s="520"/>
      <c r="AY90" s="520"/>
      <c r="AZ90" s="520"/>
      <c r="BA90" s="520"/>
    </row>
    <row r="91" spans="20:53" ht="15.75" x14ac:dyDescent="0.25">
      <c r="T91" s="166"/>
      <c r="U91" s="166"/>
      <c r="Y91" s="520"/>
      <c r="Z91" s="520"/>
      <c r="AA91" s="520"/>
      <c r="AB91" s="520"/>
      <c r="AC91" s="520"/>
      <c r="AD91" s="520"/>
      <c r="AE91" s="520"/>
      <c r="AF91" s="520"/>
      <c r="AG91" s="520"/>
      <c r="AH91" s="520"/>
      <c r="AI91" s="520"/>
      <c r="AJ91" s="520"/>
      <c r="AK91" s="520"/>
      <c r="AL91" s="520"/>
      <c r="AM91" s="520"/>
      <c r="AN91" s="520"/>
      <c r="AO91" s="520"/>
      <c r="AP91" s="520"/>
      <c r="AQ91" s="520"/>
      <c r="AR91" s="520"/>
      <c r="AS91" s="520"/>
      <c r="AT91" s="520"/>
      <c r="AU91" s="520"/>
      <c r="AV91" s="520"/>
      <c r="AW91" s="520"/>
      <c r="AX91" s="520"/>
      <c r="AY91" s="520"/>
      <c r="AZ91" s="520"/>
      <c r="BA91" s="520"/>
    </row>
    <row r="93" spans="20:53" ht="15.75" x14ac:dyDescent="0.25">
      <c r="X93" s="120"/>
      <c r="Y93" s="121"/>
      <c r="Z93" s="121"/>
      <c r="AA93" s="121"/>
      <c r="AB93" s="121"/>
      <c r="AC93" s="121"/>
      <c r="AD93" s="121"/>
      <c r="AE93" s="121"/>
      <c r="AF93" s="121"/>
      <c r="AG93" s="121"/>
      <c r="AH93" s="121"/>
      <c r="AI93" s="121"/>
      <c r="AJ93" s="121"/>
      <c r="AK93" s="121"/>
      <c r="AL93" s="121"/>
      <c r="AM93" s="121"/>
      <c r="AN93" s="121"/>
      <c r="AO93" s="121"/>
      <c r="AP93" s="121"/>
      <c r="AQ93" s="121"/>
      <c r="AR93" s="121"/>
      <c r="AS93" s="121"/>
      <c r="AT93" s="121"/>
      <c r="AU93" s="121"/>
      <c r="AV93" s="121"/>
      <c r="AW93" s="121"/>
      <c r="AX93" s="121"/>
      <c r="AY93" s="121"/>
      <c r="AZ93" s="121"/>
      <c r="BA93" s="121"/>
    </row>
    <row r="94" spans="20:53" ht="15.75" x14ac:dyDescent="0.25">
      <c r="X94" s="120"/>
      <c r="Y94" s="60"/>
      <c r="Z94" s="60"/>
      <c r="AA94" s="60"/>
      <c r="AB94" s="60"/>
      <c r="AC94" s="60"/>
      <c r="AD94" s="60"/>
      <c r="AE94" s="60"/>
      <c r="AF94" s="60"/>
      <c r="AG94" s="60"/>
      <c r="AH94" s="60"/>
      <c r="AI94" s="60"/>
      <c r="AJ94" s="60"/>
      <c r="AK94" s="60"/>
      <c r="AL94" s="60"/>
      <c r="AM94" s="60"/>
      <c r="AN94" s="60"/>
      <c r="AO94" s="60"/>
      <c r="AP94" s="60"/>
      <c r="AQ94" s="60"/>
      <c r="AR94" s="60"/>
      <c r="AS94" s="60"/>
      <c r="AT94" s="60"/>
      <c r="AU94" s="60"/>
      <c r="AV94" s="60"/>
      <c r="AW94" s="60"/>
      <c r="AX94" s="60"/>
      <c r="AY94" s="60"/>
      <c r="AZ94" s="60"/>
      <c r="BA94" s="60"/>
    </row>
    <row r="95" spans="20:53" ht="15.75" x14ac:dyDescent="0.25">
      <c r="X95" s="120"/>
      <c r="Y95" s="60"/>
      <c r="Z95" s="60"/>
      <c r="AA95" s="60"/>
      <c r="AB95" s="60"/>
      <c r="AC95" s="60"/>
      <c r="AD95" s="60"/>
      <c r="AE95" s="60"/>
      <c r="AF95" s="60"/>
      <c r="AG95" s="60"/>
      <c r="AH95" s="60"/>
      <c r="AI95" s="60"/>
      <c r="AJ95" s="60"/>
      <c r="AK95" s="60"/>
      <c r="AL95" s="60"/>
      <c r="AM95" s="60"/>
      <c r="AN95" s="60"/>
      <c r="AO95" s="60"/>
      <c r="AP95" s="60"/>
      <c r="AQ95" s="60"/>
      <c r="AR95" s="60"/>
      <c r="AS95" s="60"/>
      <c r="AT95" s="60"/>
      <c r="AU95" s="60"/>
      <c r="AV95" s="60"/>
      <c r="AW95" s="60"/>
      <c r="AX95" s="60"/>
      <c r="AY95" s="60"/>
      <c r="AZ95" s="60"/>
      <c r="BA95" s="60"/>
    </row>
    <row r="96" spans="20:53" ht="15.75" x14ac:dyDescent="0.25">
      <c r="X96" s="120"/>
      <c r="Y96" s="60"/>
      <c r="Z96" s="60"/>
      <c r="AA96" s="60"/>
      <c r="AB96" s="60"/>
      <c r="AC96" s="60"/>
      <c r="AD96" s="60"/>
      <c r="AE96" s="60"/>
      <c r="AF96" s="60"/>
      <c r="AG96" s="60"/>
      <c r="AH96" s="60"/>
      <c r="AI96" s="60"/>
      <c r="AJ96" s="60"/>
      <c r="AK96" s="60"/>
      <c r="AL96" s="60"/>
      <c r="AM96" s="60"/>
      <c r="AN96" s="60"/>
      <c r="AO96" s="60"/>
      <c r="AP96" s="60"/>
      <c r="AQ96" s="60"/>
      <c r="AR96" s="60"/>
      <c r="AS96" s="60"/>
      <c r="AT96" s="60"/>
      <c r="AU96" s="60"/>
      <c r="AV96" s="60"/>
      <c r="AW96" s="60"/>
      <c r="AX96" s="60"/>
      <c r="AY96" s="60"/>
      <c r="AZ96" s="60"/>
      <c r="BA96" s="60"/>
    </row>
    <row r="97" spans="20:53" ht="15.75" x14ac:dyDescent="0.25">
      <c r="X97" s="120"/>
      <c r="Y97" s="519"/>
      <c r="Z97" s="519"/>
      <c r="AA97" s="519"/>
      <c r="AB97" s="519"/>
      <c r="AC97" s="519"/>
      <c r="AD97" s="519"/>
      <c r="AE97" s="519"/>
      <c r="AF97" s="519"/>
      <c r="AG97" s="519"/>
      <c r="AH97" s="519"/>
      <c r="AI97" s="519"/>
      <c r="AJ97" s="519"/>
      <c r="AK97" s="519"/>
      <c r="AL97" s="519"/>
      <c r="AM97" s="519"/>
      <c r="AN97" s="519"/>
      <c r="AO97" s="519"/>
      <c r="AP97" s="519"/>
      <c r="AQ97" s="519"/>
      <c r="AR97" s="519"/>
      <c r="AS97" s="519"/>
      <c r="AT97" s="519"/>
      <c r="AU97" s="519"/>
      <c r="AV97" s="519"/>
      <c r="AW97" s="519"/>
      <c r="AX97" s="519"/>
      <c r="AY97" s="519"/>
      <c r="AZ97" s="519"/>
      <c r="BA97" s="519"/>
    </row>
    <row r="98" spans="20:53" ht="15.75" x14ac:dyDescent="0.25">
      <c r="T98" s="166"/>
      <c r="U98" s="166"/>
      <c r="W98" s="124"/>
      <c r="X98" s="120"/>
      <c r="Y98" s="519"/>
      <c r="Z98" s="519"/>
      <c r="AA98" s="519"/>
      <c r="AB98" s="519"/>
      <c r="AC98" s="519"/>
      <c r="AD98" s="519"/>
      <c r="AE98" s="519"/>
      <c r="AF98" s="519"/>
      <c r="AG98" s="519"/>
      <c r="AH98" s="519"/>
      <c r="AI98" s="519"/>
      <c r="AJ98" s="519"/>
      <c r="AK98" s="519"/>
      <c r="AL98" s="519"/>
      <c r="AM98" s="519"/>
      <c r="AN98" s="519"/>
      <c r="AO98" s="519"/>
      <c r="AP98" s="519"/>
      <c r="AQ98" s="519"/>
      <c r="AR98" s="519"/>
      <c r="AS98" s="519"/>
      <c r="AT98" s="519"/>
      <c r="AU98" s="519"/>
      <c r="AV98" s="519"/>
      <c r="AW98" s="519"/>
      <c r="AX98" s="519"/>
      <c r="AY98" s="519"/>
      <c r="AZ98" s="519"/>
      <c r="BA98" s="519"/>
    </row>
    <row r="99" spans="20:53" ht="15.75" x14ac:dyDescent="0.25">
      <c r="T99" s="166"/>
      <c r="U99" s="166"/>
      <c r="W99" s="124"/>
      <c r="X99" s="120"/>
      <c r="Y99" s="519"/>
      <c r="Z99" s="519"/>
      <c r="AA99" s="519"/>
      <c r="AB99" s="519"/>
      <c r="AC99" s="519"/>
      <c r="AD99" s="519"/>
      <c r="AE99" s="519"/>
      <c r="AF99" s="519"/>
      <c r="AG99" s="519"/>
      <c r="AH99" s="519"/>
      <c r="AI99" s="519"/>
      <c r="AJ99" s="519"/>
      <c r="AK99" s="519"/>
      <c r="AL99" s="519"/>
      <c r="AM99" s="519"/>
      <c r="AN99" s="519"/>
      <c r="AO99" s="519"/>
      <c r="AP99" s="519"/>
      <c r="AQ99" s="519"/>
      <c r="AR99" s="519"/>
      <c r="AS99" s="519"/>
      <c r="AT99" s="519"/>
      <c r="AU99" s="519"/>
      <c r="AV99" s="519"/>
      <c r="AW99" s="519"/>
      <c r="AX99" s="519"/>
      <c r="AY99" s="519"/>
      <c r="AZ99" s="519"/>
      <c r="BA99" s="519"/>
    </row>
    <row r="100" spans="20:53" ht="15.75" x14ac:dyDescent="0.25">
      <c r="X100" s="120"/>
      <c r="Y100" s="60"/>
      <c r="Z100" s="60"/>
      <c r="AA100" s="60"/>
      <c r="AB100" s="60"/>
      <c r="AC100" s="60"/>
      <c r="AD100" s="60"/>
      <c r="AE100" s="60"/>
      <c r="AF100" s="60"/>
      <c r="AG100" s="60"/>
      <c r="AH100" s="60"/>
      <c r="AI100" s="60"/>
      <c r="AJ100" s="60"/>
      <c r="AK100" s="60"/>
      <c r="AL100" s="60"/>
      <c r="AM100" s="60"/>
      <c r="AN100" s="60"/>
      <c r="AO100" s="60"/>
      <c r="AP100" s="60"/>
      <c r="AQ100" s="60"/>
      <c r="AR100" s="60"/>
      <c r="AS100" s="60"/>
      <c r="AT100" s="60"/>
      <c r="AU100" s="60"/>
      <c r="AV100" s="60"/>
      <c r="AW100" s="60"/>
      <c r="AX100" s="60"/>
      <c r="AY100" s="60"/>
      <c r="AZ100" s="60"/>
      <c r="BA100" s="60"/>
    </row>
    <row r="101" spans="20:53" ht="15.75" x14ac:dyDescent="0.25">
      <c r="X101" s="120"/>
      <c r="Y101" s="519"/>
      <c r="Z101" s="519"/>
      <c r="AA101" s="519"/>
      <c r="AB101" s="519"/>
      <c r="AC101" s="519"/>
      <c r="AD101" s="519"/>
      <c r="AE101" s="519"/>
      <c r="AF101" s="519"/>
      <c r="AG101" s="519"/>
      <c r="AH101" s="519"/>
      <c r="AI101" s="519"/>
      <c r="AJ101" s="519"/>
      <c r="AK101" s="519"/>
      <c r="AL101" s="519"/>
      <c r="AM101" s="519"/>
      <c r="AN101" s="519"/>
      <c r="AO101" s="519"/>
      <c r="AP101" s="519"/>
      <c r="AQ101" s="519"/>
      <c r="AR101" s="519"/>
      <c r="AS101" s="519"/>
      <c r="AT101" s="519"/>
      <c r="AU101" s="519"/>
      <c r="AV101" s="519"/>
      <c r="AW101" s="519"/>
      <c r="AX101" s="519"/>
      <c r="AY101" s="519"/>
      <c r="AZ101" s="519"/>
      <c r="BA101" s="519"/>
    </row>
    <row r="102" spans="20:53" ht="15.75" x14ac:dyDescent="0.25">
      <c r="X102" s="120"/>
      <c r="Y102" s="519"/>
      <c r="Z102" s="519"/>
      <c r="AA102" s="519"/>
      <c r="AB102" s="519"/>
      <c r="AC102" s="519"/>
      <c r="AD102" s="519"/>
      <c r="AE102" s="519"/>
      <c r="AF102" s="519"/>
      <c r="AG102" s="519"/>
      <c r="AH102" s="519"/>
      <c r="AI102" s="519"/>
      <c r="AJ102" s="519"/>
      <c r="AK102" s="519"/>
      <c r="AL102" s="519"/>
      <c r="AM102" s="519"/>
      <c r="AN102" s="519"/>
      <c r="AO102" s="519"/>
      <c r="AP102" s="519"/>
      <c r="AQ102" s="519"/>
      <c r="AR102" s="519"/>
      <c r="AS102" s="519"/>
      <c r="AT102" s="519"/>
      <c r="AU102" s="519"/>
      <c r="AV102" s="519"/>
      <c r="AW102" s="519"/>
      <c r="AX102" s="519"/>
      <c r="AY102" s="519"/>
      <c r="AZ102" s="519"/>
      <c r="BA102" s="519"/>
    </row>
    <row r="103" spans="20:53" ht="15.75" x14ac:dyDescent="0.25">
      <c r="X103" s="120"/>
      <c r="Y103" s="519"/>
      <c r="Z103" s="519"/>
      <c r="AA103" s="519"/>
      <c r="AB103" s="519"/>
      <c r="AC103" s="519"/>
      <c r="AD103" s="519"/>
      <c r="AE103" s="519"/>
      <c r="AF103" s="519"/>
      <c r="AG103" s="519"/>
      <c r="AH103" s="519"/>
      <c r="AI103" s="519"/>
      <c r="AJ103" s="519"/>
      <c r="AK103" s="519"/>
      <c r="AL103" s="519"/>
      <c r="AM103" s="519"/>
      <c r="AN103" s="519"/>
      <c r="AO103" s="519"/>
      <c r="AP103" s="519"/>
      <c r="AQ103" s="519"/>
      <c r="AR103" s="519"/>
      <c r="AS103" s="519"/>
      <c r="AT103" s="519"/>
      <c r="AU103" s="519"/>
      <c r="AV103" s="519"/>
      <c r="AW103" s="519"/>
      <c r="AX103" s="519"/>
      <c r="AY103" s="519"/>
      <c r="AZ103" s="519"/>
      <c r="BA103" s="519"/>
    </row>
    <row r="104" spans="20:53" ht="15.75" x14ac:dyDescent="0.25">
      <c r="X104" s="120"/>
      <c r="Y104" s="519"/>
      <c r="Z104" s="519"/>
      <c r="AA104" s="519"/>
      <c r="AB104" s="519"/>
      <c r="AC104" s="519"/>
      <c r="AD104" s="519"/>
      <c r="AE104" s="519"/>
      <c r="AF104" s="519"/>
      <c r="AG104" s="519"/>
      <c r="AH104" s="519"/>
      <c r="AI104" s="519"/>
      <c r="AJ104" s="519"/>
      <c r="AK104" s="519"/>
      <c r="AL104" s="519"/>
      <c r="AM104" s="519"/>
      <c r="AN104" s="519"/>
      <c r="AO104" s="519"/>
      <c r="AP104" s="519"/>
      <c r="AQ104" s="519"/>
      <c r="AR104" s="519"/>
      <c r="AS104" s="519"/>
      <c r="AT104" s="519"/>
      <c r="AU104" s="519"/>
      <c r="AV104" s="519"/>
      <c r="AW104" s="519"/>
      <c r="AX104" s="519"/>
      <c r="AY104" s="519"/>
      <c r="AZ104" s="519"/>
      <c r="BA104" s="519"/>
    </row>
    <row r="105" spans="20:53" ht="15.75" x14ac:dyDescent="0.25">
      <c r="X105" s="120"/>
      <c r="Y105" s="519"/>
      <c r="Z105" s="519"/>
      <c r="AA105" s="519"/>
      <c r="AB105" s="519"/>
      <c r="AC105" s="519"/>
      <c r="AD105" s="519"/>
      <c r="AE105" s="519"/>
      <c r="AF105" s="519"/>
      <c r="AG105" s="519"/>
      <c r="AH105" s="519"/>
      <c r="AI105" s="519"/>
      <c r="AJ105" s="519"/>
      <c r="AK105" s="519"/>
      <c r="AL105" s="519"/>
      <c r="AM105" s="519"/>
      <c r="AN105" s="519"/>
      <c r="AO105" s="519"/>
      <c r="AP105" s="519"/>
      <c r="AQ105" s="519"/>
      <c r="AR105" s="519"/>
      <c r="AS105" s="519"/>
      <c r="AT105" s="519"/>
      <c r="AU105" s="519"/>
      <c r="AV105" s="519"/>
      <c r="AW105" s="519"/>
      <c r="AX105" s="519"/>
      <c r="AY105" s="519"/>
      <c r="AZ105" s="519"/>
      <c r="BA105" s="519"/>
    </row>
    <row r="106" spans="20:53" ht="15.75" x14ac:dyDescent="0.25">
      <c r="X106" s="120"/>
      <c r="Y106" s="519"/>
      <c r="Z106" s="519"/>
      <c r="AA106" s="519"/>
      <c r="AB106" s="519"/>
      <c r="AC106" s="519"/>
      <c r="AD106" s="519"/>
      <c r="AE106" s="519"/>
      <c r="AF106" s="519"/>
      <c r="AG106" s="519"/>
      <c r="AH106" s="519"/>
      <c r="AI106" s="519"/>
      <c r="AJ106" s="519"/>
      <c r="AK106" s="519"/>
      <c r="AL106" s="519"/>
      <c r="AM106" s="519"/>
      <c r="AN106" s="519"/>
      <c r="AO106" s="519"/>
      <c r="AP106" s="519"/>
      <c r="AQ106" s="519"/>
      <c r="AR106" s="519"/>
      <c r="AS106" s="519"/>
      <c r="AT106" s="519"/>
      <c r="AU106" s="519"/>
      <c r="AV106" s="519"/>
      <c r="AW106" s="519"/>
      <c r="AX106" s="519"/>
      <c r="AY106" s="519"/>
      <c r="AZ106" s="519"/>
      <c r="BA106" s="519"/>
    </row>
    <row r="107" spans="20:53" ht="15.75" x14ac:dyDescent="0.25">
      <c r="X107" s="120"/>
      <c r="Y107" s="519"/>
      <c r="Z107" s="519"/>
      <c r="AA107" s="519"/>
      <c r="AB107" s="519"/>
      <c r="AC107" s="519"/>
      <c r="AD107" s="519"/>
      <c r="AE107" s="519"/>
      <c r="AF107" s="519"/>
      <c r="AG107" s="519"/>
      <c r="AH107" s="519"/>
      <c r="AI107" s="519"/>
      <c r="AJ107" s="519"/>
      <c r="AK107" s="519"/>
      <c r="AL107" s="519"/>
      <c r="AM107" s="519"/>
      <c r="AN107" s="519"/>
      <c r="AO107" s="519"/>
      <c r="AP107" s="519"/>
      <c r="AQ107" s="519"/>
      <c r="AR107" s="519"/>
      <c r="AS107" s="519"/>
      <c r="AT107" s="519"/>
      <c r="AU107" s="519"/>
      <c r="AV107" s="519"/>
      <c r="AW107" s="519"/>
      <c r="AX107" s="519"/>
      <c r="AY107" s="519"/>
      <c r="AZ107" s="519"/>
      <c r="BA107" s="519"/>
    </row>
    <row r="108" spans="20:53" ht="15.75" x14ac:dyDescent="0.25">
      <c r="X108" s="120"/>
      <c r="Y108" s="519"/>
      <c r="Z108" s="519"/>
      <c r="AA108" s="519"/>
      <c r="AB108" s="519"/>
      <c r="AC108" s="519"/>
      <c r="AD108" s="519"/>
      <c r="AE108" s="519"/>
      <c r="AF108" s="519"/>
      <c r="AG108" s="519"/>
      <c r="AH108" s="519"/>
      <c r="AI108" s="519"/>
      <c r="AJ108" s="519"/>
      <c r="AK108" s="519"/>
      <c r="AL108" s="519"/>
      <c r="AM108" s="519"/>
      <c r="AN108" s="519"/>
      <c r="AO108" s="519"/>
      <c r="AP108" s="519"/>
      <c r="AQ108" s="519"/>
      <c r="AR108" s="519"/>
      <c r="AS108" s="519"/>
      <c r="AT108" s="519"/>
      <c r="AU108" s="519"/>
      <c r="AV108" s="519"/>
      <c r="AW108" s="519"/>
      <c r="AX108" s="519"/>
      <c r="AY108" s="519"/>
      <c r="AZ108" s="519"/>
      <c r="BA108" s="519"/>
    </row>
    <row r="109" spans="20:53" ht="15.75" x14ac:dyDescent="0.25">
      <c r="X109" s="120"/>
      <c r="Y109" s="519"/>
      <c r="Z109" s="519"/>
      <c r="AA109" s="519"/>
      <c r="AB109" s="519"/>
      <c r="AC109" s="519"/>
      <c r="AD109" s="519"/>
      <c r="AE109" s="519"/>
      <c r="AF109" s="519"/>
      <c r="AG109" s="519"/>
      <c r="AH109" s="519"/>
      <c r="AI109" s="519"/>
      <c r="AJ109" s="519"/>
      <c r="AK109" s="519"/>
      <c r="AL109" s="519"/>
      <c r="AM109" s="519"/>
      <c r="AN109" s="519"/>
      <c r="AO109" s="519"/>
      <c r="AP109" s="519"/>
      <c r="AQ109" s="519"/>
      <c r="AR109" s="519"/>
      <c r="AS109" s="519"/>
      <c r="AT109" s="519"/>
      <c r="AU109" s="519"/>
      <c r="AV109" s="519"/>
      <c r="AW109" s="519"/>
      <c r="AX109" s="519"/>
      <c r="AY109" s="519"/>
      <c r="AZ109" s="519"/>
      <c r="BA109" s="519"/>
    </row>
    <row r="110" spans="20:53" ht="15.75" x14ac:dyDescent="0.25">
      <c r="X110" s="120"/>
      <c r="Y110" s="519"/>
      <c r="Z110" s="519"/>
      <c r="AA110" s="519"/>
      <c r="AB110" s="519"/>
      <c r="AC110" s="519"/>
      <c r="AD110" s="519"/>
      <c r="AE110" s="519"/>
      <c r="AF110" s="519"/>
      <c r="AG110" s="519"/>
      <c r="AH110" s="519"/>
      <c r="AI110" s="519"/>
      <c r="AJ110" s="519"/>
      <c r="AK110" s="519"/>
      <c r="AL110" s="519"/>
      <c r="AM110" s="519"/>
      <c r="AN110" s="519"/>
      <c r="AO110" s="519"/>
      <c r="AP110" s="519"/>
      <c r="AQ110" s="519"/>
      <c r="AR110" s="519"/>
      <c r="AS110" s="519"/>
      <c r="AT110" s="519"/>
      <c r="AU110" s="519"/>
      <c r="AV110" s="519"/>
      <c r="AW110" s="519"/>
      <c r="AX110" s="519"/>
      <c r="AY110" s="519"/>
      <c r="AZ110" s="519"/>
      <c r="BA110" s="519"/>
    </row>
    <row r="111" spans="20:53" ht="15.75" x14ac:dyDescent="0.25">
      <c r="X111" s="120"/>
      <c r="Y111" s="519"/>
      <c r="Z111" s="519"/>
      <c r="AA111" s="519"/>
      <c r="AB111" s="519"/>
      <c r="AC111" s="519"/>
      <c r="AD111" s="519"/>
      <c r="AE111" s="519"/>
      <c r="AF111" s="519"/>
      <c r="AG111" s="519"/>
      <c r="AH111" s="519"/>
      <c r="AI111" s="519"/>
      <c r="AJ111" s="519"/>
      <c r="AK111" s="519"/>
      <c r="AL111" s="519"/>
      <c r="AM111" s="519"/>
      <c r="AN111" s="519"/>
      <c r="AO111" s="519"/>
      <c r="AP111" s="519"/>
      <c r="AQ111" s="519"/>
      <c r="AR111" s="519"/>
      <c r="AS111" s="519"/>
      <c r="AT111" s="519"/>
      <c r="AU111" s="519"/>
      <c r="AV111" s="519"/>
      <c r="AW111" s="519"/>
      <c r="AX111" s="519"/>
      <c r="AY111" s="519"/>
      <c r="AZ111" s="519"/>
      <c r="BA111" s="519"/>
    </row>
    <row r="112" spans="20:53" ht="15.75" x14ac:dyDescent="0.25">
      <c r="X112" s="120"/>
      <c r="Y112" s="519"/>
      <c r="Z112" s="519"/>
      <c r="AA112" s="519"/>
      <c r="AB112" s="519"/>
      <c r="AC112" s="519"/>
      <c r="AD112" s="519"/>
      <c r="AE112" s="519"/>
      <c r="AF112" s="519"/>
      <c r="AG112" s="519"/>
      <c r="AH112" s="519"/>
      <c r="AI112" s="519"/>
      <c r="AJ112" s="519"/>
      <c r="AK112" s="519"/>
      <c r="AL112" s="519"/>
      <c r="AM112" s="519"/>
      <c r="AN112" s="519"/>
      <c r="AO112" s="519"/>
      <c r="AP112" s="519"/>
      <c r="AQ112" s="519"/>
      <c r="AR112" s="519"/>
      <c r="AS112" s="519"/>
      <c r="AT112" s="519"/>
      <c r="AU112" s="519"/>
      <c r="AV112" s="519"/>
      <c r="AW112" s="519"/>
      <c r="AX112" s="519"/>
      <c r="AY112" s="519"/>
      <c r="AZ112" s="519"/>
      <c r="BA112" s="519"/>
    </row>
    <row r="113" spans="24:53" ht="15.75" x14ac:dyDescent="0.25">
      <c r="X113" s="120"/>
      <c r="Y113" s="519"/>
      <c r="Z113" s="519"/>
      <c r="AA113" s="519"/>
      <c r="AB113" s="519"/>
      <c r="AC113" s="519"/>
      <c r="AD113" s="519"/>
      <c r="AE113" s="519"/>
      <c r="AF113" s="519"/>
      <c r="AG113" s="519"/>
      <c r="AH113" s="519"/>
      <c r="AI113" s="519"/>
      <c r="AJ113" s="519"/>
      <c r="AK113" s="519"/>
      <c r="AL113" s="519"/>
      <c r="AM113" s="519"/>
      <c r="AN113" s="519"/>
      <c r="AO113" s="519"/>
      <c r="AP113" s="519"/>
      <c r="AQ113" s="519"/>
      <c r="AR113" s="519"/>
      <c r="AS113" s="519"/>
      <c r="AT113" s="519"/>
      <c r="AU113" s="519"/>
      <c r="AV113" s="519"/>
      <c r="AW113" s="519"/>
      <c r="AX113" s="519"/>
      <c r="AY113" s="519"/>
      <c r="AZ113" s="519"/>
      <c r="BA113" s="519"/>
    </row>
  </sheetData>
  <sheetProtection sheet="1" formatCells="0" formatColumns="0" formatRows="0" selectLockedCells="1"/>
  <mergeCells count="32">
    <mergeCell ref="H1:I1"/>
    <mergeCell ref="H2:I2"/>
    <mergeCell ref="AP2:AZ4"/>
    <mergeCell ref="A4:P4"/>
    <mergeCell ref="A5:P5"/>
    <mergeCell ref="AP5:AT6"/>
    <mergeCell ref="AV5:AZ6"/>
    <mergeCell ref="A6:A7"/>
    <mergeCell ref="R4:AM4"/>
    <mergeCell ref="R5:AM5"/>
    <mergeCell ref="L6:L7"/>
    <mergeCell ref="B6:B7"/>
    <mergeCell ref="C6:C7"/>
    <mergeCell ref="D6:F6"/>
    <mergeCell ref="G6:I6"/>
    <mergeCell ref="J6:J7"/>
    <mergeCell ref="W52:X52"/>
    <mergeCell ref="AA6:AF6"/>
    <mergeCell ref="AH6:AM6"/>
    <mergeCell ref="N33:N34"/>
    <mergeCell ref="P33:P34"/>
    <mergeCell ref="M6:N6"/>
    <mergeCell ref="O6:P6"/>
    <mergeCell ref="R6:R7"/>
    <mergeCell ref="S6:S7"/>
    <mergeCell ref="T6:Y6"/>
    <mergeCell ref="K6:K7"/>
    <mergeCell ref="A36:B38"/>
    <mergeCell ref="C36:P38"/>
    <mergeCell ref="A40:B43"/>
    <mergeCell ref="C40:P42"/>
    <mergeCell ref="C43:P43"/>
  </mergeCells>
  <dataValidations count="2">
    <dataValidation type="list" allowBlank="1" sqref="C8:C31" xr:uid="{00000000-0002-0000-0300-000000000000}">
      <formula1>BB$7:BB$18</formula1>
    </dataValidation>
    <dataValidation type="list" allowBlank="1" sqref="J8:J31" xr:uid="{00000000-0002-0000-0300-000001000000}">
      <formula1>"0,10,20,30,40,50,60,70,80,90,100"</formula1>
    </dataValidation>
  </dataValidations>
  <pageMargins left="0.31496062992125984" right="0.31496062992125984" top="0.31496062992125984" bottom="0.15748031496062992" header="0.31496062992125984" footer="0.31496062992125984"/>
  <pageSetup paperSize="9" scale="62" orientation="landscape" r:id="rId1"/>
  <colBreaks count="1" manualBreakCount="1">
    <brk id="16" max="31"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2000000}">
          <x14:formula1>
            <xm:f>Düngemittel!$B$6:$B$64</xm:f>
          </x14:formula1>
          <xm:sqref>U8:U31 AB8:AB31 AI8:AI31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BK113"/>
  <sheetViews>
    <sheetView topLeftCell="Q1" zoomScale="90" zoomScaleNormal="90" zoomScalePageLayoutView="60" workbookViewId="0">
      <selection activeCell="A8" sqref="A8"/>
    </sheetView>
  </sheetViews>
  <sheetFormatPr baseColWidth="10" defaultRowHeight="15" x14ac:dyDescent="0.25"/>
  <cols>
    <col min="1" max="1" width="19.5703125" style="112" customWidth="1"/>
    <col min="2" max="2" width="12.5703125" style="80" customWidth="1"/>
    <col min="3" max="3" width="35.85546875" style="80" customWidth="1"/>
    <col min="4" max="4" width="10.42578125" style="112" customWidth="1"/>
    <col min="5" max="5" width="9" style="80" customWidth="1"/>
    <col min="6" max="6" width="11.140625" style="80" customWidth="1"/>
    <col min="7" max="7" width="8.42578125" style="80" customWidth="1"/>
    <col min="8" max="8" width="10.140625" style="80" customWidth="1"/>
    <col min="9" max="9" width="13.42578125" style="80" customWidth="1"/>
    <col min="10" max="10" width="17.42578125" style="80" customWidth="1"/>
    <col min="11" max="11" width="7.5703125" style="80" customWidth="1"/>
    <col min="12" max="12" width="16.140625" style="80" customWidth="1"/>
    <col min="13" max="13" width="10.85546875" style="112" customWidth="1"/>
    <col min="14" max="14" width="12.7109375" style="241" customWidth="1"/>
    <col min="15" max="15" width="10.85546875" style="80" customWidth="1"/>
    <col min="16" max="16" width="11.7109375" style="80" customWidth="1"/>
    <col min="17" max="17" width="2.5703125" style="80" customWidth="1"/>
    <col min="18" max="18" width="15" style="80" customWidth="1"/>
    <col min="19" max="19" width="14.140625" style="80" customWidth="1"/>
    <col min="20" max="20" width="9.5703125" style="80" customWidth="1"/>
    <col min="21" max="21" width="13.140625" style="80" customWidth="1"/>
    <col min="22" max="22" width="7.28515625" style="80" customWidth="1"/>
    <col min="23" max="25" width="7.140625" style="80" customWidth="1"/>
    <col min="26" max="26" width="1.28515625" style="80" customWidth="1"/>
    <col min="27" max="27" width="9.42578125" style="80" customWidth="1"/>
    <col min="28" max="28" width="13.140625" style="80" customWidth="1"/>
    <col min="29" max="32" width="7.28515625" style="80" customWidth="1"/>
    <col min="33" max="33" width="1.5703125" style="80" customWidth="1"/>
    <col min="34" max="34" width="9.5703125" style="80" customWidth="1"/>
    <col min="35" max="35" width="13.140625" style="80" customWidth="1"/>
    <col min="36" max="36" width="7.28515625" style="80" customWidth="1"/>
    <col min="37" max="39" width="7.140625" style="80" customWidth="1"/>
    <col min="40" max="40" width="1.85546875" style="80" customWidth="1"/>
    <col min="41" max="41" width="2.5703125" style="80" customWidth="1"/>
    <col min="42" max="42" width="7.28515625" style="80" customWidth="1"/>
    <col min="43" max="44" width="7.140625" style="80" customWidth="1"/>
    <col min="45" max="45" width="9.140625" style="80" customWidth="1"/>
    <col min="46" max="46" width="7.5703125" style="80" customWidth="1"/>
    <col min="47" max="47" width="2.140625" style="80" customWidth="1"/>
    <col min="48" max="48" width="7.28515625" style="80" customWidth="1"/>
    <col min="49" max="50" width="7.140625" style="80" customWidth="1"/>
    <col min="51" max="51" width="8.28515625" style="80" customWidth="1"/>
    <col min="52" max="52" width="8" style="80" customWidth="1"/>
    <col min="53" max="53" width="5.7109375" style="80" customWidth="1"/>
    <col min="54" max="54" width="50.7109375" style="80" customWidth="1"/>
    <col min="55" max="55" width="10" style="80" customWidth="1"/>
    <col min="56" max="56" width="11.7109375" style="80" customWidth="1"/>
    <col min="57" max="57" width="12" style="80" customWidth="1"/>
    <col min="58" max="58" width="27.5703125" style="80" customWidth="1"/>
    <col min="59" max="16384" width="11.42578125" style="80"/>
  </cols>
  <sheetData>
    <row r="1" spans="1:63" ht="18" customHeight="1" x14ac:dyDescent="0.25">
      <c r="A1" s="1370" t="s">
        <v>1156</v>
      </c>
      <c r="B1" s="1371"/>
      <c r="C1" s="396" t="str">
        <f>'DüV-N-Ackerbau (1)'!C1</f>
        <v>Testbetrieb</v>
      </c>
      <c r="D1" s="396"/>
      <c r="E1" s="396" t="str">
        <f>'DüV-N-Ackerbau (1)'!F1</f>
        <v>Erntejahr</v>
      </c>
      <c r="F1" s="374"/>
      <c r="G1" s="448"/>
      <c r="H1" s="1352" t="s">
        <v>34</v>
      </c>
      <c r="I1" s="1353"/>
      <c r="J1" s="448"/>
      <c r="K1" s="448"/>
      <c r="L1" s="448"/>
      <c r="M1" s="1372" t="s">
        <v>1157</v>
      </c>
      <c r="N1" s="1372"/>
      <c r="O1" s="448"/>
      <c r="P1" s="449"/>
      <c r="R1" s="1370" t="s">
        <v>1156</v>
      </c>
      <c r="S1" s="1414"/>
      <c r="T1" s="1415" t="s">
        <v>1207</v>
      </c>
      <c r="U1" s="1330"/>
      <c r="V1" s="1330"/>
      <c r="W1" s="1330"/>
      <c r="X1" s="1330"/>
      <c r="Y1" s="1330"/>
      <c r="Z1" s="1330"/>
      <c r="AA1" s="1330"/>
      <c r="AB1" s="1330"/>
      <c r="AC1" s="1330"/>
      <c r="AD1" s="1330"/>
      <c r="AE1" s="1330"/>
      <c r="AF1" s="1330"/>
      <c r="AG1" s="1330"/>
      <c r="AH1" s="1330"/>
      <c r="AI1" s="1330"/>
      <c r="AJ1" s="1330"/>
      <c r="AK1" s="1330"/>
      <c r="AL1" s="1330"/>
      <c r="AM1" s="1330"/>
      <c r="AP1" s="1378" t="s">
        <v>1170</v>
      </c>
      <c r="AQ1" s="1379"/>
      <c r="AR1" s="1379"/>
      <c r="AS1" s="1379"/>
      <c r="AT1" s="1379"/>
      <c r="AU1" s="1379"/>
      <c r="AV1" s="1379"/>
      <c r="AW1" s="1379"/>
      <c r="AX1" s="1379"/>
      <c r="AY1" s="1379"/>
      <c r="AZ1" s="1380"/>
    </row>
    <row r="2" spans="1:63" ht="26.25" customHeight="1" x14ac:dyDescent="0.25">
      <c r="A2" s="1371"/>
      <c r="B2" s="1371"/>
      <c r="C2" s="112">
        <f>'DüV-N-Ackerbau (1)'!C2</f>
        <v>1</v>
      </c>
      <c r="D2" s="15"/>
      <c r="E2" s="112">
        <f>'DüV-N-Ackerbau (1)'!G1</f>
        <v>2022</v>
      </c>
      <c r="F2" s="15"/>
      <c r="G2" s="112"/>
      <c r="H2" s="1356" t="s">
        <v>36</v>
      </c>
      <c r="I2" s="1336"/>
      <c r="M2" s="1372"/>
      <c r="N2" s="1372"/>
      <c r="P2" s="503"/>
      <c r="R2" s="1371"/>
      <c r="S2" s="1414"/>
      <c r="T2" s="1338"/>
      <c r="U2" s="1335"/>
      <c r="V2" s="1335"/>
      <c r="W2" s="1335"/>
      <c r="X2" s="1335"/>
      <c r="Y2" s="1335"/>
      <c r="Z2" s="1335"/>
      <c r="AA2" s="1335"/>
      <c r="AB2" s="1335"/>
      <c r="AC2" s="1335"/>
      <c r="AD2" s="1335"/>
      <c r="AE2" s="1335"/>
      <c r="AF2" s="1335"/>
      <c r="AG2" s="1335"/>
      <c r="AH2" s="1335"/>
      <c r="AI2" s="1335"/>
      <c r="AJ2" s="1335"/>
      <c r="AK2" s="1335"/>
      <c r="AL2" s="1335"/>
      <c r="AM2" s="1335"/>
      <c r="AP2" s="1343"/>
      <c r="AQ2" s="1293"/>
      <c r="AR2" s="1293"/>
      <c r="AS2" s="1293"/>
      <c r="AT2" s="1293"/>
      <c r="AU2" s="1293"/>
      <c r="AV2" s="1293"/>
      <c r="AW2" s="1293"/>
      <c r="AX2" s="1293"/>
      <c r="AY2" s="1293"/>
      <c r="AZ2" s="1344"/>
    </row>
    <row r="3" spans="1:63" ht="16.5" customHeight="1" thickBot="1" x14ac:dyDescent="0.3">
      <c r="A3" s="1371"/>
      <c r="B3" s="1371"/>
      <c r="C3" s="795">
        <f>'DüV-N-Ackerbau (1)'!C3</f>
        <v>123456</v>
      </c>
      <c r="D3" s="794"/>
      <c r="E3" s="794"/>
      <c r="F3" s="794"/>
      <c r="G3" s="371"/>
      <c r="H3" s="371"/>
      <c r="I3" s="371"/>
      <c r="J3" s="371"/>
      <c r="K3" s="371"/>
      <c r="L3" s="783"/>
      <c r="M3" s="1372"/>
      <c r="N3" s="1372"/>
      <c r="O3" s="796"/>
      <c r="P3" s="797"/>
      <c r="Q3" s="124"/>
      <c r="R3" s="1371"/>
      <c r="S3" s="1414"/>
      <c r="T3" s="1339"/>
      <c r="U3" s="1340"/>
      <c r="V3" s="1340"/>
      <c r="W3" s="1340"/>
      <c r="X3" s="1340"/>
      <c r="Y3" s="1340"/>
      <c r="Z3" s="1340"/>
      <c r="AA3" s="1340"/>
      <c r="AB3" s="1340"/>
      <c r="AC3" s="1340"/>
      <c r="AD3" s="1340"/>
      <c r="AE3" s="1340"/>
      <c r="AF3" s="1340"/>
      <c r="AG3" s="1340"/>
      <c r="AH3" s="1340"/>
      <c r="AI3" s="1340"/>
      <c r="AJ3" s="1340"/>
      <c r="AK3" s="1340"/>
      <c r="AL3" s="1340"/>
      <c r="AM3" s="1340"/>
      <c r="AP3" s="1343"/>
      <c r="AQ3" s="1293"/>
      <c r="AR3" s="1293"/>
      <c r="AS3" s="1293"/>
      <c r="AT3" s="1293"/>
      <c r="AU3" s="1293"/>
      <c r="AV3" s="1293"/>
      <c r="AW3" s="1293"/>
      <c r="AX3" s="1293"/>
      <c r="AY3" s="1293"/>
      <c r="AZ3" s="1344"/>
    </row>
    <row r="4" spans="1:63" ht="34.5" customHeight="1" thickBot="1" x14ac:dyDescent="0.3">
      <c r="A4" s="1397" t="s">
        <v>1237</v>
      </c>
      <c r="B4" s="1398"/>
      <c r="C4" s="1398"/>
      <c r="D4" s="1398"/>
      <c r="E4" s="1398"/>
      <c r="F4" s="1398"/>
      <c r="G4" s="1398"/>
      <c r="H4" s="1398"/>
      <c r="I4" s="1398"/>
      <c r="J4" s="1398"/>
      <c r="K4" s="1398"/>
      <c r="L4" s="1398"/>
      <c r="M4" s="1398"/>
      <c r="N4" s="1398"/>
      <c r="O4" s="1399"/>
      <c r="P4" s="1400"/>
      <c r="R4" s="1280" t="s">
        <v>1183</v>
      </c>
      <c r="S4" s="1286"/>
      <c r="T4" s="1286"/>
      <c r="U4" s="1286"/>
      <c r="V4" s="1286"/>
      <c r="W4" s="1286"/>
      <c r="X4" s="1286"/>
      <c r="Y4" s="1286"/>
      <c r="Z4" s="1286"/>
      <c r="AA4" s="1286"/>
      <c r="AB4" s="1286"/>
      <c r="AC4" s="1286"/>
      <c r="AD4" s="1286"/>
      <c r="AE4" s="1286"/>
      <c r="AF4" s="1286"/>
      <c r="AG4" s="1286"/>
      <c r="AH4" s="1286"/>
      <c r="AI4" s="1286"/>
      <c r="AJ4" s="1286"/>
      <c r="AK4" s="1286"/>
      <c r="AL4" s="1286"/>
      <c r="AM4" s="1286"/>
      <c r="AN4" s="123"/>
      <c r="AP4" s="1345"/>
      <c r="AQ4" s="1381"/>
      <c r="AR4" s="1381"/>
      <c r="AS4" s="1381"/>
      <c r="AT4" s="1381"/>
      <c r="AU4" s="1381"/>
      <c r="AV4" s="1381"/>
      <c r="AW4" s="1381"/>
      <c r="AX4" s="1381"/>
      <c r="AY4" s="1381"/>
      <c r="AZ4" s="1346"/>
    </row>
    <row r="5" spans="1:63" ht="35.25" customHeight="1" thickBot="1" x14ac:dyDescent="0.3">
      <c r="A5" s="1308" t="s">
        <v>1186</v>
      </c>
      <c r="B5" s="1401"/>
      <c r="C5" s="1401"/>
      <c r="D5" s="1401"/>
      <c r="E5" s="1401"/>
      <c r="F5" s="1401"/>
      <c r="G5" s="1401"/>
      <c r="H5" s="1401"/>
      <c r="I5" s="1401"/>
      <c r="J5" s="1401"/>
      <c r="K5" s="1401"/>
      <c r="L5" s="1401"/>
      <c r="M5" s="1401"/>
      <c r="N5" s="1401"/>
      <c r="O5" s="1401"/>
      <c r="P5" s="1309"/>
      <c r="Q5" s="400"/>
      <c r="R5" s="1288" t="s">
        <v>1184</v>
      </c>
      <c r="S5" s="1286"/>
      <c r="T5" s="1286"/>
      <c r="U5" s="1286"/>
      <c r="V5" s="1286"/>
      <c r="W5" s="1286"/>
      <c r="X5" s="1286"/>
      <c r="Y5" s="1286"/>
      <c r="Z5" s="1286"/>
      <c r="AA5" s="1286"/>
      <c r="AB5" s="1286"/>
      <c r="AC5" s="1286"/>
      <c r="AD5" s="1286"/>
      <c r="AE5" s="1286"/>
      <c r="AF5" s="1286"/>
      <c r="AG5" s="1286"/>
      <c r="AH5" s="1286"/>
      <c r="AI5" s="1286"/>
      <c r="AJ5" s="1286"/>
      <c r="AK5" s="1286"/>
      <c r="AL5" s="1286"/>
      <c r="AM5" s="1286"/>
      <c r="AN5" s="711"/>
      <c r="AO5" s="181"/>
      <c r="AP5" s="1402" t="s">
        <v>1081</v>
      </c>
      <c r="AQ5" s="1396"/>
      <c r="AR5" s="1396"/>
      <c r="AS5" s="1396"/>
      <c r="AT5" s="1396"/>
      <c r="AU5" s="181"/>
      <c r="AV5" s="1403" t="s">
        <v>1092</v>
      </c>
      <c r="AW5" s="1379"/>
      <c r="AX5" s="1379"/>
      <c r="AY5" s="1379"/>
      <c r="AZ5" s="1380"/>
      <c r="BA5" s="123"/>
      <c r="BD5" s="16"/>
      <c r="BF5" s="737"/>
      <c r="BG5" s="738"/>
      <c r="BH5" s="739"/>
      <c r="BI5" s="739"/>
      <c r="BJ5" s="739"/>
      <c r="BK5" s="739"/>
    </row>
    <row r="6" spans="1:63" ht="24" customHeight="1" x14ac:dyDescent="0.25">
      <c r="A6" s="1363" t="s">
        <v>1091</v>
      </c>
      <c r="B6" s="1406" t="s">
        <v>570</v>
      </c>
      <c r="C6" s="1408" t="s">
        <v>1234</v>
      </c>
      <c r="D6" s="1409" t="s">
        <v>301</v>
      </c>
      <c r="E6" s="1410"/>
      <c r="F6" s="1411"/>
      <c r="G6" s="1409" t="s">
        <v>302</v>
      </c>
      <c r="H6" s="1410"/>
      <c r="I6" s="1411"/>
      <c r="J6" s="1412" t="s">
        <v>250</v>
      </c>
      <c r="K6" s="1383" t="s">
        <v>163</v>
      </c>
      <c r="L6" s="1404" t="s">
        <v>1198</v>
      </c>
      <c r="M6" s="1316" t="s">
        <v>1028</v>
      </c>
      <c r="N6" s="1317"/>
      <c r="O6" s="1393" t="s">
        <v>1151</v>
      </c>
      <c r="P6" s="1394"/>
      <c r="Q6" s="519"/>
      <c r="R6" s="1395" t="s">
        <v>1152</v>
      </c>
      <c r="S6" s="1287" t="s">
        <v>631</v>
      </c>
      <c r="T6" s="1392" t="s">
        <v>828</v>
      </c>
      <c r="U6" s="1381"/>
      <c r="V6" s="1381"/>
      <c r="W6" s="1381"/>
      <c r="X6" s="1381"/>
      <c r="Y6" s="1346"/>
      <c r="Z6" s="400"/>
      <c r="AA6" s="1392" t="s">
        <v>851</v>
      </c>
      <c r="AB6" s="1381"/>
      <c r="AC6" s="1381"/>
      <c r="AD6" s="1381"/>
      <c r="AE6" s="1381"/>
      <c r="AF6" s="1346"/>
      <c r="AG6" s="400"/>
      <c r="AH6" s="1392" t="s">
        <v>852</v>
      </c>
      <c r="AI6" s="1381"/>
      <c r="AJ6" s="1381"/>
      <c r="AK6" s="1381"/>
      <c r="AL6" s="1381"/>
      <c r="AM6" s="1346"/>
      <c r="AN6" s="400"/>
      <c r="AO6" s="400"/>
      <c r="AP6" s="1286"/>
      <c r="AQ6" s="1286"/>
      <c r="AR6" s="1286"/>
      <c r="AS6" s="1286"/>
      <c r="AT6" s="1286"/>
      <c r="AU6" s="400"/>
      <c r="AV6" s="1345"/>
      <c r="AW6" s="1381"/>
      <c r="AX6" s="1381"/>
      <c r="AY6" s="1381"/>
      <c r="AZ6" s="1346"/>
      <c r="BA6" s="123"/>
      <c r="BB6" s="896" t="s">
        <v>1185</v>
      </c>
      <c r="BC6" s="896" t="s">
        <v>33</v>
      </c>
      <c r="BD6" s="896" t="s">
        <v>11</v>
      </c>
      <c r="BE6" s="390" t="s">
        <v>1187</v>
      </c>
      <c r="BF6" s="739"/>
      <c r="BG6" s="740"/>
      <c r="BH6" s="741"/>
      <c r="BI6" s="739"/>
      <c r="BJ6" s="739"/>
      <c r="BK6" s="739"/>
    </row>
    <row r="7" spans="1:63" s="124" customFormat="1" ht="49.5" customHeight="1" thickBot="1" x14ac:dyDescent="0.3">
      <c r="A7" s="1364"/>
      <c r="B7" s="1407"/>
      <c r="C7" s="1304"/>
      <c r="D7" s="991" t="s">
        <v>85</v>
      </c>
      <c r="E7" s="992" t="s">
        <v>11</v>
      </c>
      <c r="F7" s="990" t="s">
        <v>303</v>
      </c>
      <c r="G7" s="658" t="s">
        <v>85</v>
      </c>
      <c r="H7" s="402" t="s">
        <v>307</v>
      </c>
      <c r="I7" s="411" t="s">
        <v>305</v>
      </c>
      <c r="J7" s="1413"/>
      <c r="K7" s="1283"/>
      <c r="L7" s="1405"/>
      <c r="M7" s="581" t="s">
        <v>328</v>
      </c>
      <c r="N7" s="483" t="s">
        <v>612</v>
      </c>
      <c r="O7" s="486" t="s">
        <v>605</v>
      </c>
      <c r="P7" s="483" t="s">
        <v>612</v>
      </c>
      <c r="Q7" s="723"/>
      <c r="R7" s="1396"/>
      <c r="S7" s="1286"/>
      <c r="T7" s="745" t="s">
        <v>850</v>
      </c>
      <c r="U7" s="744" t="s">
        <v>1038</v>
      </c>
      <c r="V7" s="681" t="s">
        <v>33</v>
      </c>
      <c r="W7" s="312" t="s">
        <v>1078</v>
      </c>
      <c r="X7" s="681" t="s">
        <v>1079</v>
      </c>
      <c r="Y7" s="312" t="s">
        <v>1080</v>
      </c>
      <c r="Z7" s="519"/>
      <c r="AA7" s="745" t="s">
        <v>850</v>
      </c>
      <c r="AB7" s="744" t="s">
        <v>831</v>
      </c>
      <c r="AC7" s="681" t="s">
        <v>33</v>
      </c>
      <c r="AD7" s="312" t="s">
        <v>1078</v>
      </c>
      <c r="AE7" s="681" t="s">
        <v>1079</v>
      </c>
      <c r="AF7" s="312" t="s">
        <v>1080</v>
      </c>
      <c r="AG7" s="519"/>
      <c r="AH7" s="745" t="s">
        <v>850</v>
      </c>
      <c r="AI7" s="744" t="s">
        <v>831</v>
      </c>
      <c r="AJ7" s="681" t="s">
        <v>33</v>
      </c>
      <c r="AK7" s="312" t="s">
        <v>1078</v>
      </c>
      <c r="AL7" s="681" t="s">
        <v>1079</v>
      </c>
      <c r="AM7" s="312" t="s">
        <v>1080</v>
      </c>
      <c r="AN7" s="519"/>
      <c r="AO7" s="519"/>
      <c r="AP7" s="775" t="s">
        <v>1096</v>
      </c>
      <c r="AQ7" s="312" t="s">
        <v>1082</v>
      </c>
      <c r="AR7" s="312" t="s">
        <v>1083</v>
      </c>
      <c r="AS7" s="699" t="s">
        <v>1268</v>
      </c>
      <c r="AT7" s="312" t="s">
        <v>290</v>
      </c>
      <c r="AU7" s="519"/>
      <c r="AV7" s="780" t="s">
        <v>1096</v>
      </c>
      <c r="AW7" s="312" t="s">
        <v>1082</v>
      </c>
      <c r="AX7" s="781" t="s">
        <v>1098</v>
      </c>
      <c r="AY7" s="699" t="s">
        <v>1268</v>
      </c>
      <c r="AZ7" s="312" t="s">
        <v>290</v>
      </c>
      <c r="BA7" s="519"/>
      <c r="BB7" s="792" t="s">
        <v>31</v>
      </c>
      <c r="BC7" s="792">
        <v>0</v>
      </c>
      <c r="BD7" s="792">
        <v>0</v>
      </c>
      <c r="BE7" s="390">
        <v>0</v>
      </c>
      <c r="BF7" s="739"/>
      <c r="BG7" s="741"/>
      <c r="BH7" s="737"/>
      <c r="BI7" s="739"/>
      <c r="BJ7" s="596"/>
      <c r="BK7" s="596"/>
    </row>
    <row r="8" spans="1:63" ht="23.25" customHeight="1" x14ac:dyDescent="0.25">
      <c r="A8" s="379" t="s">
        <v>1154</v>
      </c>
      <c r="B8" s="1221">
        <v>0</v>
      </c>
      <c r="C8" s="994" t="s">
        <v>31</v>
      </c>
      <c r="D8" s="406">
        <f t="shared" ref="D8:D31" si="0">VLOOKUP(C8,BB$7:BD$20,2,FALSE)</f>
        <v>0</v>
      </c>
      <c r="E8" s="383">
        <f t="shared" ref="E8:E31" si="1">VLOOKUP(C8,BB$7:BD$20,3,FALSE)</f>
        <v>0</v>
      </c>
      <c r="F8" s="407">
        <f>IF(C8="Zwischenfrucht ohne Ernte",0,IF(C8="Zwischenfrucht mit Ernte",30,D8*E8/6.25))</f>
        <v>0</v>
      </c>
      <c r="G8" s="1217">
        <v>0</v>
      </c>
      <c r="H8" s="978">
        <v>0</v>
      </c>
      <c r="I8" s="897">
        <f>IF(C8="Zwischenfrucht ohne Ernte",0,IF(C8="Zwischenfrucht mit Ernte",30,G8*H8/6.25))</f>
        <v>0</v>
      </c>
      <c r="J8" s="877">
        <v>0</v>
      </c>
      <c r="K8" s="898">
        <f>J8*I8/100</f>
        <v>0</v>
      </c>
      <c r="L8" s="1219">
        <v>0</v>
      </c>
      <c r="M8" s="586">
        <f>IF(I8-K8-L8&lt;0,0,I8-K8-L8)</f>
        <v>0</v>
      </c>
      <c r="N8" s="495">
        <f t="shared" ref="N8:N31" si="2">IF(M8&lt;0,0,M8*B8)</f>
        <v>0</v>
      </c>
      <c r="O8" s="497">
        <f t="shared" ref="O8:O31" si="3">G8*VLOOKUP(C8,BB$7:BE$18,4,FALSE)</f>
        <v>0</v>
      </c>
      <c r="P8" s="434">
        <f t="shared" ref="P8:P31" si="4">B8*O8</f>
        <v>0</v>
      </c>
      <c r="Q8" s="474"/>
      <c r="R8" s="775" t="str">
        <f>$A8</f>
        <v>Fläche eins</v>
      </c>
      <c r="S8" s="775" t="str">
        <f>C8</f>
        <v>keine</v>
      </c>
      <c r="T8" s="899"/>
      <c r="U8" s="900" t="s">
        <v>805</v>
      </c>
      <c r="V8" s="978">
        <v>0</v>
      </c>
      <c r="W8" s="751">
        <f>VLOOKUP(U8,Düngemittel!$B$6:$E$64,2,FALSE)*(VLOOKUP(U8,Düngemittel!$B$6:$E$64,3,FALSE))/100*V8</f>
        <v>0</v>
      </c>
      <c r="X8" s="687">
        <f>VLOOKUP(U8,Düngemittel!$B$6:$E$64,2,FALSE)*V8</f>
        <v>0</v>
      </c>
      <c r="Y8" s="687">
        <f>VLOOKUP(U8,Düngemittel!$B$6:$E$64,4,FALSE)*V8</f>
        <v>0</v>
      </c>
      <c r="Z8" s="666"/>
      <c r="AA8" s="899"/>
      <c r="AB8" s="900" t="s">
        <v>805</v>
      </c>
      <c r="AC8" s="978">
        <v>0</v>
      </c>
      <c r="AD8" s="751">
        <f>VLOOKUP(AB8,Düngemittel!$B$6:$E$64,2,FALSE)*(VLOOKUP(AB8,Düngemittel!$B$6:$E$64,3,FALSE))/100*AC8</f>
        <v>0</v>
      </c>
      <c r="AE8" s="687">
        <f>VLOOKUP(AB8,Düngemittel!$B$6:$E$64,2,FALSE)*AC8</f>
        <v>0</v>
      </c>
      <c r="AF8" s="687">
        <f>VLOOKUP(AB8,Düngemittel!$B$6:$E$64,4,FALSE)*AC8</f>
        <v>0</v>
      </c>
      <c r="AG8" s="666"/>
      <c r="AH8" s="899"/>
      <c r="AI8" s="900" t="s">
        <v>805</v>
      </c>
      <c r="AJ8" s="978">
        <v>0</v>
      </c>
      <c r="AK8" s="751">
        <f>VLOOKUP(AI8,Düngemittel!$B$6:$E$64,2,FALSE)*(VLOOKUP(AI8,Düngemittel!$B$6:$E$64,3,FALSE))/100*AJ8</f>
        <v>0</v>
      </c>
      <c r="AL8" s="687">
        <f>VLOOKUP(AI8,Düngemittel!$B$6:$E$64,2,FALSE)*AJ8</f>
        <v>0</v>
      </c>
      <c r="AM8" s="687">
        <f>VLOOKUP(AI8,Düngemittel!$B$6:$E$64,4,FALSE)*AJ8</f>
        <v>0</v>
      </c>
      <c r="AN8" s="666"/>
      <c r="AO8" s="666"/>
      <c r="AP8" s="853">
        <f>IF(W8&lt;X8,0,W8)+IF(AD8&lt;AE8,0,AD8)+IF(AK8&lt;AL8,0,AK8)</f>
        <v>0</v>
      </c>
      <c r="AQ8" s="308">
        <f>SUM(W8+AD8+AK8)</f>
        <v>0</v>
      </c>
      <c r="AR8" s="853">
        <f>SUM(X8+AE8+AL8)</f>
        <v>0</v>
      </c>
      <c r="AS8" s="777">
        <f>IF(W8&lt;X8,X8,0)+IF(AD8&lt;AE8,AE8,0)+IF(AK8&lt;AL8,AL8,0)</f>
        <v>0</v>
      </c>
      <c r="AT8" s="308">
        <f>SUM(Y8+AF8+AM8)</f>
        <v>0</v>
      </c>
      <c r="AU8" s="785"/>
      <c r="AV8" s="853">
        <f>AP8*$B8</f>
        <v>0</v>
      </c>
      <c r="AW8" s="853">
        <f t="shared" ref="AW8:AZ8" si="5">AQ8*$B8</f>
        <v>0</v>
      </c>
      <c r="AX8" s="853">
        <f t="shared" si="5"/>
        <v>0</v>
      </c>
      <c r="AY8" s="853">
        <f t="shared" si="5"/>
        <v>0</v>
      </c>
      <c r="AZ8" s="853">
        <f t="shared" si="5"/>
        <v>0</v>
      </c>
      <c r="BA8" s="16"/>
      <c r="BB8" s="391" t="s">
        <v>1193</v>
      </c>
      <c r="BC8" s="390">
        <v>40</v>
      </c>
      <c r="BD8" s="390">
        <v>16.600000000000001</v>
      </c>
      <c r="BE8" s="393">
        <v>0.8</v>
      </c>
      <c r="BF8" s="739"/>
      <c r="BG8" s="740"/>
      <c r="BH8" s="737"/>
      <c r="BI8" s="739"/>
      <c r="BJ8" s="739"/>
      <c r="BK8" s="739"/>
    </row>
    <row r="9" spans="1:63" ht="23.25" customHeight="1" x14ac:dyDescent="0.25">
      <c r="A9" s="342" t="s">
        <v>575</v>
      </c>
      <c r="B9" s="1222">
        <v>0</v>
      </c>
      <c r="C9" s="995" t="s">
        <v>31</v>
      </c>
      <c r="D9" s="408">
        <f t="shared" si="0"/>
        <v>0</v>
      </c>
      <c r="E9" s="285">
        <f t="shared" si="1"/>
        <v>0</v>
      </c>
      <c r="F9" s="409">
        <f t="shared" ref="F9:F31" si="6">IF(C9="Zwischenfrucht ohne Ernte",0,IF(C9="Zwischenfrucht mit Ernte",30,D9*E9/6.25))</f>
        <v>0</v>
      </c>
      <c r="G9" s="1218">
        <v>0</v>
      </c>
      <c r="H9" s="906">
        <v>0</v>
      </c>
      <c r="I9" s="897">
        <f t="shared" ref="I9:I31" si="7">IF(C9="Zwischenfrucht ohne Ernte",0,IF(C9="Zwischenfrucht mit Ernte",30,G9*H9/6.25))</f>
        <v>0</v>
      </c>
      <c r="J9" s="433">
        <v>0</v>
      </c>
      <c r="K9" s="606">
        <f t="shared" ref="K9:K31" si="8">J9*I9/100</f>
        <v>0</v>
      </c>
      <c r="L9" s="1220">
        <v>0</v>
      </c>
      <c r="M9" s="587">
        <f t="shared" ref="M9:M31" si="9">IF(I9-K9-L9&lt;0,0,I9-K9-L9)</f>
        <v>0</v>
      </c>
      <c r="N9" s="435">
        <f t="shared" si="2"/>
        <v>0</v>
      </c>
      <c r="O9" s="498">
        <f t="shared" si="3"/>
        <v>0</v>
      </c>
      <c r="P9" s="495">
        <f t="shared" si="4"/>
        <v>0</v>
      </c>
      <c r="Q9" s="474"/>
      <c r="R9" s="775" t="str">
        <f t="shared" ref="R9:R31" si="10">A9</f>
        <v>Schlag 2</v>
      </c>
      <c r="S9" s="775" t="str">
        <f t="shared" ref="S9:S31" si="11">C9</f>
        <v>keine</v>
      </c>
      <c r="T9" s="886"/>
      <c r="U9" s="900" t="s">
        <v>805</v>
      </c>
      <c r="V9" s="906">
        <v>0</v>
      </c>
      <c r="W9" s="751">
        <f>VLOOKUP(U9,Düngemittel!$B$6:$E$64,2,FALSE)*(VLOOKUP(U9,Düngemittel!$B$6:$E$64,3,FALSE))/100*V9</f>
        <v>0</v>
      </c>
      <c r="X9" s="687">
        <f>VLOOKUP(U9,Düngemittel!$B$6:$E$64,2,FALSE)*V9</f>
        <v>0</v>
      </c>
      <c r="Y9" s="687">
        <f>VLOOKUP(U9,Düngemittel!$B$6:$E$64,4,FALSE)*V9</f>
        <v>0</v>
      </c>
      <c r="Z9" s="666"/>
      <c r="AA9" s="899"/>
      <c r="AB9" s="900" t="s">
        <v>805</v>
      </c>
      <c r="AC9" s="978">
        <v>0</v>
      </c>
      <c r="AD9" s="751">
        <f>VLOOKUP(AB9,Düngemittel!$B$6:$E$64,2,FALSE)*(VLOOKUP(AB9,Düngemittel!$B$6:$E$64,3,FALSE))/100*AC9</f>
        <v>0</v>
      </c>
      <c r="AE9" s="687">
        <f>VLOOKUP(AB9,Düngemittel!$B$6:$E$64,2,FALSE)*AC9</f>
        <v>0</v>
      </c>
      <c r="AF9" s="687">
        <f>VLOOKUP(AB9,Düngemittel!$B$6:$E$64,4,FALSE)*AC9</f>
        <v>0</v>
      </c>
      <c r="AG9" s="666"/>
      <c r="AH9" s="899"/>
      <c r="AI9" s="900" t="s">
        <v>805</v>
      </c>
      <c r="AJ9" s="978">
        <v>0</v>
      </c>
      <c r="AK9" s="751">
        <f>VLOOKUP(AI9,Düngemittel!$B$6:$E$64,2,FALSE)*(VLOOKUP(AI9,Düngemittel!$B$6:$E$64,3,FALSE))/100*AJ9</f>
        <v>0</v>
      </c>
      <c r="AL9" s="687">
        <f>VLOOKUP(AI9,Düngemittel!$B$6:$E$64,2,FALSE)*AJ9</f>
        <v>0</v>
      </c>
      <c r="AM9" s="687">
        <f>VLOOKUP(AI9,Düngemittel!$B$6:$E$64,4,FALSE)*AJ9</f>
        <v>0</v>
      </c>
      <c r="AN9" s="666"/>
      <c r="AO9" s="666"/>
      <c r="AP9" s="853">
        <f t="shared" ref="AP9:AP31" si="12">IF(W9&lt;X9,0,W9)+IF(AD9&lt;AE9,0,AD9)+IF(AK9&lt;AL9,0,AK9)</f>
        <v>0</v>
      </c>
      <c r="AQ9" s="308">
        <f t="shared" ref="AQ9:AQ31" si="13">SUM(W9+AD9+AK9)</f>
        <v>0</v>
      </c>
      <c r="AR9" s="853">
        <f t="shared" ref="AR9:AR31" si="14">SUM(X9+AE9+AL9)</f>
        <v>0</v>
      </c>
      <c r="AS9" s="777">
        <f t="shared" ref="AS9:AS31" si="15">IF(W9&lt;X9,X9,0)+IF(AD9&lt;AE9,AE9,0)+IF(AK9&lt;AL9,AL9,0)</f>
        <v>0</v>
      </c>
      <c r="AT9" s="308">
        <f t="shared" ref="AT9:AT31" si="16">SUM(Y9+AF9+AM9)</f>
        <v>0</v>
      </c>
      <c r="AU9" s="785"/>
      <c r="AV9" s="853">
        <f t="shared" ref="AV9:AV31" si="17">AP9*$B9</f>
        <v>0</v>
      </c>
      <c r="AW9" s="853">
        <f t="shared" ref="AW9:AW31" si="18">AQ9*$B9</f>
        <v>0</v>
      </c>
      <c r="AX9" s="853">
        <f t="shared" ref="AX9:AX31" si="19">AR9*$B9</f>
        <v>0</v>
      </c>
      <c r="AY9" s="853">
        <f t="shared" ref="AY9:AY31" si="20">AS9*$B9</f>
        <v>0</v>
      </c>
      <c r="AZ9" s="853">
        <f t="shared" ref="AZ9:AZ31" si="21">AT9*$B9</f>
        <v>0</v>
      </c>
      <c r="BA9" s="16"/>
      <c r="BB9" s="391" t="s">
        <v>1194</v>
      </c>
      <c r="BC9" s="390">
        <v>40</v>
      </c>
      <c r="BD9" s="390">
        <v>18.2</v>
      </c>
      <c r="BE9" s="390">
        <v>0.75</v>
      </c>
      <c r="BF9" s="739"/>
      <c r="BG9" s="740"/>
      <c r="BH9" s="737"/>
      <c r="BI9" s="739"/>
      <c r="BJ9" s="739"/>
      <c r="BK9" s="739"/>
    </row>
    <row r="10" spans="1:63" ht="23.25" customHeight="1" x14ac:dyDescent="0.25">
      <c r="A10" s="342" t="s">
        <v>572</v>
      </c>
      <c r="B10" s="1222">
        <v>0</v>
      </c>
      <c r="C10" s="996" t="s">
        <v>31</v>
      </c>
      <c r="D10" s="408">
        <f t="shared" si="0"/>
        <v>0</v>
      </c>
      <c r="E10" s="285">
        <f t="shared" si="1"/>
        <v>0</v>
      </c>
      <c r="F10" s="409">
        <f t="shared" si="6"/>
        <v>0</v>
      </c>
      <c r="G10" s="1218">
        <v>0</v>
      </c>
      <c r="H10" s="906">
        <v>0</v>
      </c>
      <c r="I10" s="897">
        <f t="shared" si="7"/>
        <v>0</v>
      </c>
      <c r="J10" s="433">
        <v>0</v>
      </c>
      <c r="K10" s="606">
        <f t="shared" si="8"/>
        <v>0</v>
      </c>
      <c r="L10" s="1220">
        <v>0</v>
      </c>
      <c r="M10" s="587">
        <f t="shared" si="9"/>
        <v>0</v>
      </c>
      <c r="N10" s="435">
        <f t="shared" si="2"/>
        <v>0</v>
      </c>
      <c r="O10" s="499">
        <f t="shared" si="3"/>
        <v>0</v>
      </c>
      <c r="P10" s="435">
        <f t="shared" si="4"/>
        <v>0</v>
      </c>
      <c r="Q10" s="474"/>
      <c r="R10" s="775" t="str">
        <f t="shared" si="10"/>
        <v>Fläche 3</v>
      </c>
      <c r="S10" s="775" t="str">
        <f t="shared" si="11"/>
        <v>keine</v>
      </c>
      <c r="T10" s="886"/>
      <c r="U10" s="900" t="s">
        <v>805</v>
      </c>
      <c r="V10" s="906">
        <v>0</v>
      </c>
      <c r="W10" s="751">
        <f>VLOOKUP(U10,Düngemittel!$B$6:$E$64,2,FALSE)*(VLOOKUP(U10,Düngemittel!$B$6:$E$64,3,FALSE))/100*V10</f>
        <v>0</v>
      </c>
      <c r="X10" s="687">
        <f>VLOOKUP(U10,Düngemittel!$B$6:$E$64,2,FALSE)*V10</f>
        <v>0</v>
      </c>
      <c r="Y10" s="687">
        <f>VLOOKUP(U10,Düngemittel!$B$6:$E$64,4,FALSE)*V10</f>
        <v>0</v>
      </c>
      <c r="Z10" s="666"/>
      <c r="AA10" s="899"/>
      <c r="AB10" s="900" t="s">
        <v>805</v>
      </c>
      <c r="AC10" s="978">
        <v>0</v>
      </c>
      <c r="AD10" s="751">
        <f>VLOOKUP(AB10,Düngemittel!$B$6:$E$64,2,FALSE)*(VLOOKUP(AB10,Düngemittel!$B$6:$E$64,3,FALSE))/100*AC10</f>
        <v>0</v>
      </c>
      <c r="AE10" s="687">
        <f>VLOOKUP(AB10,Düngemittel!$B$6:$E$64,2,FALSE)*AC10</f>
        <v>0</v>
      </c>
      <c r="AF10" s="687">
        <f>VLOOKUP(AB10,Düngemittel!$B$6:$E$64,4,FALSE)*AC10</f>
        <v>0</v>
      </c>
      <c r="AG10" s="666"/>
      <c r="AH10" s="899"/>
      <c r="AI10" s="900" t="s">
        <v>805</v>
      </c>
      <c r="AJ10" s="978">
        <v>0</v>
      </c>
      <c r="AK10" s="751">
        <f>VLOOKUP(AI10,Düngemittel!$B$6:$E$64,2,FALSE)*(VLOOKUP(AI10,Düngemittel!$B$6:$E$64,3,FALSE))/100*AJ10</f>
        <v>0</v>
      </c>
      <c r="AL10" s="687">
        <f>VLOOKUP(AI10,Düngemittel!$B$6:$E$64,2,FALSE)*AJ10</f>
        <v>0</v>
      </c>
      <c r="AM10" s="687">
        <f>VLOOKUP(AI10,Düngemittel!$B$6:$E$64,4,FALSE)*AJ10</f>
        <v>0</v>
      </c>
      <c r="AN10" s="666"/>
      <c r="AO10" s="666"/>
      <c r="AP10" s="853">
        <f t="shared" si="12"/>
        <v>0</v>
      </c>
      <c r="AQ10" s="308">
        <f t="shared" si="13"/>
        <v>0</v>
      </c>
      <c r="AR10" s="853">
        <f t="shared" si="14"/>
        <v>0</v>
      </c>
      <c r="AS10" s="777">
        <f t="shared" si="15"/>
        <v>0</v>
      </c>
      <c r="AT10" s="308">
        <f t="shared" si="16"/>
        <v>0</v>
      </c>
      <c r="AU10" s="785"/>
      <c r="AV10" s="853">
        <f t="shared" si="17"/>
        <v>0</v>
      </c>
      <c r="AW10" s="853">
        <f t="shared" si="18"/>
        <v>0</v>
      </c>
      <c r="AX10" s="853">
        <f t="shared" si="19"/>
        <v>0</v>
      </c>
      <c r="AY10" s="853">
        <f t="shared" si="20"/>
        <v>0</v>
      </c>
      <c r="AZ10" s="853">
        <f t="shared" si="21"/>
        <v>0</v>
      </c>
      <c r="BA10" s="16"/>
      <c r="BB10" s="391" t="s">
        <v>1195</v>
      </c>
      <c r="BC10" s="390">
        <v>40</v>
      </c>
      <c r="BD10" s="390">
        <v>20.5</v>
      </c>
      <c r="BE10" s="390">
        <v>0.7</v>
      </c>
      <c r="BF10" s="739"/>
      <c r="BG10" s="740"/>
      <c r="BH10" s="737"/>
      <c r="BI10" s="739"/>
      <c r="BJ10" s="739"/>
      <c r="BK10" s="739"/>
    </row>
    <row r="11" spans="1:63" ht="23.25" customHeight="1" x14ac:dyDescent="0.25">
      <c r="A11" s="342">
        <v>4</v>
      </c>
      <c r="B11" s="1222">
        <v>0</v>
      </c>
      <c r="C11" s="997" t="s">
        <v>31</v>
      </c>
      <c r="D11" s="408">
        <f t="shared" si="0"/>
        <v>0</v>
      </c>
      <c r="E11" s="285">
        <f t="shared" si="1"/>
        <v>0</v>
      </c>
      <c r="F11" s="409">
        <f t="shared" si="6"/>
        <v>0</v>
      </c>
      <c r="G11" s="1218">
        <v>0</v>
      </c>
      <c r="H11" s="906">
        <v>0</v>
      </c>
      <c r="I11" s="897">
        <f t="shared" si="7"/>
        <v>0</v>
      </c>
      <c r="J11" s="433">
        <v>0</v>
      </c>
      <c r="K11" s="606">
        <f t="shared" si="8"/>
        <v>0</v>
      </c>
      <c r="L11" s="1220">
        <v>0</v>
      </c>
      <c r="M11" s="587">
        <f t="shared" si="9"/>
        <v>0</v>
      </c>
      <c r="N11" s="435">
        <f t="shared" si="2"/>
        <v>0</v>
      </c>
      <c r="O11" s="499">
        <f t="shared" si="3"/>
        <v>0</v>
      </c>
      <c r="P11" s="435">
        <f t="shared" si="4"/>
        <v>0</v>
      </c>
      <c r="Q11" s="474"/>
      <c r="R11" s="775">
        <f t="shared" si="10"/>
        <v>4</v>
      </c>
      <c r="S11" s="775" t="str">
        <f t="shared" si="11"/>
        <v>keine</v>
      </c>
      <c r="T11" s="901"/>
      <c r="U11" s="900" t="s">
        <v>805</v>
      </c>
      <c r="V11" s="324">
        <v>0</v>
      </c>
      <c r="W11" s="751">
        <f>VLOOKUP(U11,Düngemittel!$B$6:$E$64,2,FALSE)*(VLOOKUP(U11,Düngemittel!$B$6:$E$64,3,FALSE))/100*V11</f>
        <v>0</v>
      </c>
      <c r="X11" s="687">
        <f>VLOOKUP(U11,Düngemittel!$B$6:$E$64,2,FALSE)*V11</f>
        <v>0</v>
      </c>
      <c r="Y11" s="687">
        <f>VLOOKUP(U11,Düngemittel!$B$6:$E$64,4,FALSE)*V11</f>
        <v>0</v>
      </c>
      <c r="Z11" s="666"/>
      <c r="AA11" s="899"/>
      <c r="AB11" s="900" t="s">
        <v>805</v>
      </c>
      <c r="AC11" s="978">
        <v>0</v>
      </c>
      <c r="AD11" s="751">
        <f>VLOOKUP(AB11,Düngemittel!$B$6:$E$64,2,FALSE)*(VLOOKUP(AB11,Düngemittel!$B$6:$E$64,3,FALSE))/100*AC11</f>
        <v>0</v>
      </c>
      <c r="AE11" s="687">
        <f>VLOOKUP(AB11,Düngemittel!$B$6:$E$64,2,FALSE)*AC11</f>
        <v>0</v>
      </c>
      <c r="AF11" s="687">
        <f>VLOOKUP(AB11,Düngemittel!$B$6:$E$64,4,FALSE)*AC11</f>
        <v>0</v>
      </c>
      <c r="AG11" s="666"/>
      <c r="AH11" s="899"/>
      <c r="AI11" s="900" t="s">
        <v>805</v>
      </c>
      <c r="AJ11" s="978">
        <v>0</v>
      </c>
      <c r="AK11" s="751">
        <f>VLOOKUP(AI11,Düngemittel!$B$6:$E$64,2,FALSE)*(VLOOKUP(AI11,Düngemittel!$B$6:$E$64,3,FALSE))/100*AJ11</f>
        <v>0</v>
      </c>
      <c r="AL11" s="687">
        <f>VLOOKUP(AI11,Düngemittel!$B$6:$E$64,2,FALSE)*AJ11</f>
        <v>0</v>
      </c>
      <c r="AM11" s="687">
        <f>VLOOKUP(AI11,Düngemittel!$B$6:$E$64,4,FALSE)*AJ11</f>
        <v>0</v>
      </c>
      <c r="AN11" s="666"/>
      <c r="AO11" s="666"/>
      <c r="AP11" s="853">
        <f t="shared" si="12"/>
        <v>0</v>
      </c>
      <c r="AQ11" s="308">
        <f t="shared" si="13"/>
        <v>0</v>
      </c>
      <c r="AR11" s="853">
        <f t="shared" si="14"/>
        <v>0</v>
      </c>
      <c r="AS11" s="777">
        <f t="shared" si="15"/>
        <v>0</v>
      </c>
      <c r="AT11" s="308">
        <f t="shared" si="16"/>
        <v>0</v>
      </c>
      <c r="AU11" s="785"/>
      <c r="AV11" s="853">
        <f t="shared" si="17"/>
        <v>0</v>
      </c>
      <c r="AW11" s="853">
        <f t="shared" si="18"/>
        <v>0</v>
      </c>
      <c r="AX11" s="853">
        <f t="shared" si="19"/>
        <v>0</v>
      </c>
      <c r="AY11" s="853">
        <f t="shared" si="20"/>
        <v>0</v>
      </c>
      <c r="AZ11" s="853">
        <f t="shared" si="21"/>
        <v>0</v>
      </c>
      <c r="BA11" s="16"/>
      <c r="BB11" s="391" t="s">
        <v>1191</v>
      </c>
      <c r="BC11" s="390">
        <v>90</v>
      </c>
      <c r="BD11" s="390">
        <v>7</v>
      </c>
      <c r="BE11" s="390">
        <v>0.51</v>
      </c>
      <c r="BF11" s="739"/>
      <c r="BG11" s="740"/>
      <c r="BH11" s="737"/>
      <c r="BI11" s="739"/>
      <c r="BJ11" s="739"/>
      <c r="BK11" s="739"/>
    </row>
    <row r="12" spans="1:63" ht="23.25" customHeight="1" x14ac:dyDescent="0.25">
      <c r="A12" s="342">
        <v>5</v>
      </c>
      <c r="B12" s="1222">
        <v>0</v>
      </c>
      <c r="C12" s="997" t="s">
        <v>31</v>
      </c>
      <c r="D12" s="408">
        <f t="shared" si="0"/>
        <v>0</v>
      </c>
      <c r="E12" s="285">
        <f t="shared" si="1"/>
        <v>0</v>
      </c>
      <c r="F12" s="409">
        <f t="shared" si="6"/>
        <v>0</v>
      </c>
      <c r="G12" s="1218">
        <v>0</v>
      </c>
      <c r="H12" s="906">
        <v>0</v>
      </c>
      <c r="I12" s="897">
        <f t="shared" si="7"/>
        <v>0</v>
      </c>
      <c r="J12" s="433">
        <v>0</v>
      </c>
      <c r="K12" s="606">
        <f t="shared" si="8"/>
        <v>0</v>
      </c>
      <c r="L12" s="1220">
        <v>0</v>
      </c>
      <c r="M12" s="587">
        <f t="shared" si="9"/>
        <v>0</v>
      </c>
      <c r="N12" s="435">
        <f t="shared" si="2"/>
        <v>0</v>
      </c>
      <c r="O12" s="499">
        <f t="shared" si="3"/>
        <v>0</v>
      </c>
      <c r="P12" s="435">
        <f t="shared" si="4"/>
        <v>0</v>
      </c>
      <c r="Q12" s="474"/>
      <c r="R12" s="775">
        <f t="shared" si="10"/>
        <v>5</v>
      </c>
      <c r="S12" s="775" t="str">
        <f t="shared" si="11"/>
        <v>keine</v>
      </c>
      <c r="T12" s="901"/>
      <c r="U12" s="900" t="s">
        <v>805</v>
      </c>
      <c r="V12" s="324">
        <v>0</v>
      </c>
      <c r="W12" s="751">
        <f>VLOOKUP(U12,Düngemittel!$B$6:$E$64,2,FALSE)*(VLOOKUP(U12,Düngemittel!$B$6:$E$64,3,FALSE))/100*V12</f>
        <v>0</v>
      </c>
      <c r="X12" s="687">
        <f>VLOOKUP(U12,Düngemittel!$B$6:$E$64,2,FALSE)*V12</f>
        <v>0</v>
      </c>
      <c r="Y12" s="687">
        <f>VLOOKUP(U12,Düngemittel!$B$6:$E$64,4,FALSE)*V12</f>
        <v>0</v>
      </c>
      <c r="Z12" s="666"/>
      <c r="AA12" s="899"/>
      <c r="AB12" s="900" t="s">
        <v>805</v>
      </c>
      <c r="AC12" s="978">
        <v>0</v>
      </c>
      <c r="AD12" s="751">
        <f>VLOOKUP(AB12,Düngemittel!$B$6:$E$64,2,FALSE)*(VLOOKUP(AB12,Düngemittel!$B$6:$E$64,3,FALSE))/100*AC12</f>
        <v>0</v>
      </c>
      <c r="AE12" s="687">
        <f>VLOOKUP(AB12,Düngemittel!$B$6:$E$64,2,FALSE)*AC12</f>
        <v>0</v>
      </c>
      <c r="AF12" s="687">
        <f>VLOOKUP(AB12,Düngemittel!$B$6:$E$64,4,FALSE)*AC12</f>
        <v>0</v>
      </c>
      <c r="AG12" s="666"/>
      <c r="AH12" s="899"/>
      <c r="AI12" s="900" t="s">
        <v>805</v>
      </c>
      <c r="AJ12" s="978">
        <v>0</v>
      </c>
      <c r="AK12" s="751">
        <f>VLOOKUP(AI12,Düngemittel!$B$6:$E$64,2,FALSE)*(VLOOKUP(AI12,Düngemittel!$B$6:$E$64,3,FALSE))/100*AJ12</f>
        <v>0</v>
      </c>
      <c r="AL12" s="687">
        <f>VLOOKUP(AI12,Düngemittel!$B$6:$E$64,2,FALSE)*AJ12</f>
        <v>0</v>
      </c>
      <c r="AM12" s="687">
        <f>VLOOKUP(AI12,Düngemittel!$B$6:$E$64,4,FALSE)*AJ12</f>
        <v>0</v>
      </c>
      <c r="AN12" s="666"/>
      <c r="AO12" s="666"/>
      <c r="AP12" s="853">
        <f t="shared" si="12"/>
        <v>0</v>
      </c>
      <c r="AQ12" s="308">
        <f t="shared" si="13"/>
        <v>0</v>
      </c>
      <c r="AR12" s="853">
        <f t="shared" si="14"/>
        <v>0</v>
      </c>
      <c r="AS12" s="777">
        <f t="shared" si="15"/>
        <v>0</v>
      </c>
      <c r="AT12" s="308">
        <f t="shared" si="16"/>
        <v>0</v>
      </c>
      <c r="AU12" s="785"/>
      <c r="AV12" s="853">
        <f t="shared" si="17"/>
        <v>0</v>
      </c>
      <c r="AW12" s="853">
        <f t="shared" si="18"/>
        <v>0</v>
      </c>
      <c r="AX12" s="853">
        <f t="shared" si="19"/>
        <v>0</v>
      </c>
      <c r="AY12" s="853">
        <f t="shared" si="20"/>
        <v>0</v>
      </c>
      <c r="AZ12" s="853">
        <f t="shared" si="21"/>
        <v>0</v>
      </c>
      <c r="BA12" s="16"/>
      <c r="BB12" s="80" t="s">
        <v>1192</v>
      </c>
      <c r="BC12" s="80">
        <v>90</v>
      </c>
      <c r="BD12" s="80">
        <v>7</v>
      </c>
      <c r="BE12" s="80">
        <v>0.51</v>
      </c>
      <c r="BF12" s="739"/>
      <c r="BG12" s="740"/>
      <c r="BH12" s="737"/>
      <c r="BI12" s="739"/>
      <c r="BJ12" s="739"/>
      <c r="BK12" s="739"/>
    </row>
    <row r="13" spans="1:63" ht="23.25" customHeight="1" x14ac:dyDescent="0.25">
      <c r="A13" s="342">
        <v>6</v>
      </c>
      <c r="B13" s="1222">
        <v>0</v>
      </c>
      <c r="C13" s="997" t="s">
        <v>31</v>
      </c>
      <c r="D13" s="408">
        <f t="shared" si="0"/>
        <v>0</v>
      </c>
      <c r="E13" s="285">
        <f t="shared" si="1"/>
        <v>0</v>
      </c>
      <c r="F13" s="409">
        <f t="shared" si="6"/>
        <v>0</v>
      </c>
      <c r="G13" s="1218">
        <v>0</v>
      </c>
      <c r="H13" s="906">
        <v>0</v>
      </c>
      <c r="I13" s="897">
        <f t="shared" si="7"/>
        <v>0</v>
      </c>
      <c r="J13" s="433">
        <v>0</v>
      </c>
      <c r="K13" s="606">
        <f t="shared" si="8"/>
        <v>0</v>
      </c>
      <c r="L13" s="1220">
        <v>0</v>
      </c>
      <c r="M13" s="587">
        <f t="shared" si="9"/>
        <v>0</v>
      </c>
      <c r="N13" s="435">
        <f t="shared" si="2"/>
        <v>0</v>
      </c>
      <c r="O13" s="499">
        <f t="shared" si="3"/>
        <v>0</v>
      </c>
      <c r="P13" s="435">
        <f t="shared" si="4"/>
        <v>0</v>
      </c>
      <c r="Q13" s="474"/>
      <c r="R13" s="775">
        <f t="shared" si="10"/>
        <v>6</v>
      </c>
      <c r="S13" s="775" t="str">
        <f t="shared" si="11"/>
        <v>keine</v>
      </c>
      <c r="T13" s="901"/>
      <c r="U13" s="900" t="s">
        <v>805</v>
      </c>
      <c r="V13" s="324">
        <v>0</v>
      </c>
      <c r="W13" s="751">
        <f>VLOOKUP(U13,Düngemittel!$B$6:$E$64,2,FALSE)*(VLOOKUP(U13,Düngemittel!$B$6:$E$64,3,FALSE))/100*V13</f>
        <v>0</v>
      </c>
      <c r="X13" s="687">
        <f>VLOOKUP(U13,Düngemittel!$B$6:$E$64,2,FALSE)*V13</f>
        <v>0</v>
      </c>
      <c r="Y13" s="687">
        <f>VLOOKUP(U13,Düngemittel!$B$6:$E$64,4,FALSE)*V13</f>
        <v>0</v>
      </c>
      <c r="Z13" s="666"/>
      <c r="AA13" s="899"/>
      <c r="AB13" s="900" t="s">
        <v>805</v>
      </c>
      <c r="AC13" s="978">
        <v>0</v>
      </c>
      <c r="AD13" s="751">
        <f>VLOOKUP(AB13,Düngemittel!$B$6:$E$64,2,FALSE)*(VLOOKUP(AB13,Düngemittel!$B$6:$E$64,3,FALSE))/100*AC13</f>
        <v>0</v>
      </c>
      <c r="AE13" s="687">
        <f>VLOOKUP(AB13,Düngemittel!$B$6:$E$64,2,FALSE)*AC13</f>
        <v>0</v>
      </c>
      <c r="AF13" s="687">
        <f>VLOOKUP(AB13,Düngemittel!$B$6:$E$64,4,FALSE)*AC13</f>
        <v>0</v>
      </c>
      <c r="AG13" s="666"/>
      <c r="AH13" s="899"/>
      <c r="AI13" s="900" t="s">
        <v>805</v>
      </c>
      <c r="AJ13" s="978">
        <v>0</v>
      </c>
      <c r="AK13" s="751">
        <f>VLOOKUP(AI13,Düngemittel!$B$6:$E$64,2,FALSE)*(VLOOKUP(AI13,Düngemittel!$B$6:$E$64,3,FALSE))/100*AJ13</f>
        <v>0</v>
      </c>
      <c r="AL13" s="687">
        <f>VLOOKUP(AI13,Düngemittel!$B$6:$E$64,2,FALSE)*AJ13</f>
        <v>0</v>
      </c>
      <c r="AM13" s="687">
        <f>VLOOKUP(AI13,Düngemittel!$B$6:$E$64,4,FALSE)*AJ13</f>
        <v>0</v>
      </c>
      <c r="AN13" s="666"/>
      <c r="AO13" s="666"/>
      <c r="AP13" s="853">
        <f t="shared" si="12"/>
        <v>0</v>
      </c>
      <c r="AQ13" s="308">
        <f t="shared" si="13"/>
        <v>0</v>
      </c>
      <c r="AR13" s="853">
        <f t="shared" si="14"/>
        <v>0</v>
      </c>
      <c r="AS13" s="777">
        <f t="shared" si="15"/>
        <v>0</v>
      </c>
      <c r="AT13" s="308">
        <f t="shared" si="16"/>
        <v>0</v>
      </c>
      <c r="AU13" s="785"/>
      <c r="AV13" s="853">
        <f t="shared" si="17"/>
        <v>0</v>
      </c>
      <c r="AW13" s="853">
        <f t="shared" si="18"/>
        <v>0</v>
      </c>
      <c r="AX13" s="853">
        <f t="shared" si="19"/>
        <v>0</v>
      </c>
      <c r="AY13" s="853">
        <f t="shared" si="20"/>
        <v>0</v>
      </c>
      <c r="AZ13" s="853">
        <f t="shared" si="21"/>
        <v>0</v>
      </c>
      <c r="BA13" s="16"/>
      <c r="BB13" s="390" t="s">
        <v>1196</v>
      </c>
      <c r="BC13" s="390">
        <v>45</v>
      </c>
      <c r="BD13" s="390">
        <v>15</v>
      </c>
      <c r="BE13" s="390">
        <v>0.8</v>
      </c>
      <c r="BF13" s="739"/>
      <c r="BG13" s="740"/>
      <c r="BH13" s="742"/>
      <c r="BI13" s="739"/>
      <c r="BJ13" s="739"/>
      <c r="BK13" s="739"/>
    </row>
    <row r="14" spans="1:63" ht="23.25" customHeight="1" x14ac:dyDescent="0.25">
      <c r="A14" s="342">
        <v>7</v>
      </c>
      <c r="B14" s="1222">
        <v>0</v>
      </c>
      <c r="C14" s="997" t="s">
        <v>31</v>
      </c>
      <c r="D14" s="408">
        <f t="shared" si="0"/>
        <v>0</v>
      </c>
      <c r="E14" s="285">
        <f t="shared" si="1"/>
        <v>0</v>
      </c>
      <c r="F14" s="409">
        <f t="shared" si="6"/>
        <v>0</v>
      </c>
      <c r="G14" s="1218">
        <v>0</v>
      </c>
      <c r="H14" s="906">
        <v>0</v>
      </c>
      <c r="I14" s="897">
        <f t="shared" si="7"/>
        <v>0</v>
      </c>
      <c r="J14" s="433">
        <v>0</v>
      </c>
      <c r="K14" s="606">
        <f t="shared" si="8"/>
        <v>0</v>
      </c>
      <c r="L14" s="1220">
        <v>0</v>
      </c>
      <c r="M14" s="587">
        <f t="shared" si="9"/>
        <v>0</v>
      </c>
      <c r="N14" s="435">
        <f t="shared" si="2"/>
        <v>0</v>
      </c>
      <c r="O14" s="499">
        <f t="shared" si="3"/>
        <v>0</v>
      </c>
      <c r="P14" s="435">
        <f t="shared" si="4"/>
        <v>0</v>
      </c>
      <c r="Q14" s="474"/>
      <c r="R14" s="775">
        <f t="shared" si="10"/>
        <v>7</v>
      </c>
      <c r="S14" s="775" t="str">
        <f t="shared" si="11"/>
        <v>keine</v>
      </c>
      <c r="T14" s="901"/>
      <c r="U14" s="900" t="s">
        <v>805</v>
      </c>
      <c r="V14" s="324">
        <v>0</v>
      </c>
      <c r="W14" s="751">
        <f>VLOOKUP(U14,Düngemittel!$B$6:$E$64,2,FALSE)*(VLOOKUP(U14,Düngemittel!$B$6:$E$64,3,FALSE))/100*V14</f>
        <v>0</v>
      </c>
      <c r="X14" s="687">
        <f>VLOOKUP(U14,Düngemittel!$B$6:$E$64,2,FALSE)*V14</f>
        <v>0</v>
      </c>
      <c r="Y14" s="687">
        <f>VLOOKUP(U14,Düngemittel!$B$6:$E$64,4,FALSE)*V14</f>
        <v>0</v>
      </c>
      <c r="Z14" s="666"/>
      <c r="AA14" s="899"/>
      <c r="AB14" s="900" t="s">
        <v>805</v>
      </c>
      <c r="AC14" s="978">
        <v>0</v>
      </c>
      <c r="AD14" s="751">
        <f>VLOOKUP(AB14,Düngemittel!$B$6:$E$64,2,FALSE)*(VLOOKUP(AB14,Düngemittel!$B$6:$E$64,3,FALSE))/100*AC14</f>
        <v>0</v>
      </c>
      <c r="AE14" s="687">
        <f>VLOOKUP(AB14,Düngemittel!$B$6:$E$64,2,FALSE)*AC14</f>
        <v>0</v>
      </c>
      <c r="AF14" s="687">
        <f>VLOOKUP(AB14,Düngemittel!$B$6:$E$64,4,FALSE)*AC14</f>
        <v>0</v>
      </c>
      <c r="AG14" s="666"/>
      <c r="AH14" s="899"/>
      <c r="AI14" s="900" t="s">
        <v>805</v>
      </c>
      <c r="AJ14" s="978">
        <v>0</v>
      </c>
      <c r="AK14" s="751">
        <f>VLOOKUP(AI14,Düngemittel!$B$6:$E$64,2,FALSE)*(VLOOKUP(AI14,Düngemittel!$B$6:$E$64,3,FALSE))/100*AJ14</f>
        <v>0</v>
      </c>
      <c r="AL14" s="687">
        <f>VLOOKUP(AI14,Düngemittel!$B$6:$E$64,2,FALSE)*AJ14</f>
        <v>0</v>
      </c>
      <c r="AM14" s="687">
        <f>VLOOKUP(AI14,Düngemittel!$B$6:$E$64,4,FALSE)*AJ14</f>
        <v>0</v>
      </c>
      <c r="AN14" s="666"/>
      <c r="AO14" s="666"/>
      <c r="AP14" s="853">
        <f t="shared" si="12"/>
        <v>0</v>
      </c>
      <c r="AQ14" s="308">
        <f t="shared" si="13"/>
        <v>0</v>
      </c>
      <c r="AR14" s="853">
        <f t="shared" si="14"/>
        <v>0</v>
      </c>
      <c r="AS14" s="777">
        <f t="shared" si="15"/>
        <v>0</v>
      </c>
      <c r="AT14" s="308">
        <f t="shared" si="16"/>
        <v>0</v>
      </c>
      <c r="AU14" s="785"/>
      <c r="AV14" s="853">
        <f t="shared" si="17"/>
        <v>0</v>
      </c>
      <c r="AW14" s="853">
        <f t="shared" si="18"/>
        <v>0</v>
      </c>
      <c r="AX14" s="853">
        <f t="shared" si="19"/>
        <v>0</v>
      </c>
      <c r="AY14" s="853">
        <f t="shared" si="20"/>
        <v>0</v>
      </c>
      <c r="AZ14" s="853">
        <f t="shared" si="21"/>
        <v>0</v>
      </c>
      <c r="BA14" s="16"/>
      <c r="BB14" s="391" t="s">
        <v>1235</v>
      </c>
      <c r="BC14" s="390">
        <v>30</v>
      </c>
      <c r="BD14" s="390">
        <v>16</v>
      </c>
      <c r="BE14" s="390">
        <v>0</v>
      </c>
      <c r="BF14" s="739"/>
      <c r="BG14" s="739"/>
      <c r="BH14" s="739"/>
      <c r="BI14" s="739"/>
      <c r="BJ14" s="739"/>
      <c r="BK14" s="739"/>
    </row>
    <row r="15" spans="1:63" ht="23.25" customHeight="1" x14ac:dyDescent="0.25">
      <c r="A15" s="342">
        <v>8</v>
      </c>
      <c r="B15" s="1222">
        <v>0</v>
      </c>
      <c r="C15" s="997" t="s">
        <v>31</v>
      </c>
      <c r="D15" s="408">
        <f t="shared" si="0"/>
        <v>0</v>
      </c>
      <c r="E15" s="285">
        <f t="shared" si="1"/>
        <v>0</v>
      </c>
      <c r="F15" s="409">
        <f t="shared" si="6"/>
        <v>0</v>
      </c>
      <c r="G15" s="1218">
        <v>0</v>
      </c>
      <c r="H15" s="906">
        <v>0</v>
      </c>
      <c r="I15" s="897">
        <f t="shared" si="7"/>
        <v>0</v>
      </c>
      <c r="J15" s="433">
        <v>0</v>
      </c>
      <c r="K15" s="606">
        <f t="shared" si="8"/>
        <v>0</v>
      </c>
      <c r="L15" s="1220">
        <v>0</v>
      </c>
      <c r="M15" s="587">
        <f t="shared" si="9"/>
        <v>0</v>
      </c>
      <c r="N15" s="435">
        <f t="shared" si="2"/>
        <v>0</v>
      </c>
      <c r="O15" s="499">
        <f t="shared" si="3"/>
        <v>0</v>
      </c>
      <c r="P15" s="435">
        <f t="shared" si="4"/>
        <v>0</v>
      </c>
      <c r="Q15" s="474"/>
      <c r="R15" s="775">
        <f t="shared" si="10"/>
        <v>8</v>
      </c>
      <c r="S15" s="775" t="str">
        <f t="shared" si="11"/>
        <v>keine</v>
      </c>
      <c r="T15" s="901"/>
      <c r="U15" s="900" t="s">
        <v>805</v>
      </c>
      <c r="V15" s="324">
        <v>0</v>
      </c>
      <c r="W15" s="751">
        <f>VLOOKUP(U15,Düngemittel!$B$6:$E$64,2,FALSE)*(VLOOKUP(U15,Düngemittel!$B$6:$E$64,3,FALSE))/100*V15</f>
        <v>0</v>
      </c>
      <c r="X15" s="687">
        <f>VLOOKUP(U15,Düngemittel!$B$6:$E$64,2,FALSE)*V15</f>
        <v>0</v>
      </c>
      <c r="Y15" s="687">
        <f>VLOOKUP(U15,Düngemittel!$B$6:$E$64,4,FALSE)*V15</f>
        <v>0</v>
      </c>
      <c r="Z15" s="666"/>
      <c r="AA15" s="899"/>
      <c r="AB15" s="900" t="s">
        <v>805</v>
      </c>
      <c r="AC15" s="978">
        <v>0</v>
      </c>
      <c r="AD15" s="751">
        <f>VLOOKUP(AB15,Düngemittel!$B$6:$E$64,2,FALSE)*(VLOOKUP(AB15,Düngemittel!$B$6:$E$64,3,FALSE))/100*AC15</f>
        <v>0</v>
      </c>
      <c r="AE15" s="687">
        <f>VLOOKUP(AB15,Düngemittel!$B$6:$E$64,2,FALSE)*AC15</f>
        <v>0</v>
      </c>
      <c r="AF15" s="687">
        <f>VLOOKUP(AB15,Düngemittel!$B$6:$E$64,4,FALSE)*AC15</f>
        <v>0</v>
      </c>
      <c r="AG15" s="666"/>
      <c r="AH15" s="899"/>
      <c r="AI15" s="900" t="s">
        <v>805</v>
      </c>
      <c r="AJ15" s="978">
        <v>0</v>
      </c>
      <c r="AK15" s="751">
        <f>VLOOKUP(AI15,Düngemittel!$B$6:$E$64,2,FALSE)*(VLOOKUP(AI15,Düngemittel!$B$6:$E$64,3,FALSE))/100*AJ15</f>
        <v>0</v>
      </c>
      <c r="AL15" s="687">
        <f>VLOOKUP(AI15,Düngemittel!$B$6:$E$64,2,FALSE)*AJ15</f>
        <v>0</v>
      </c>
      <c r="AM15" s="687">
        <f>VLOOKUP(AI15,Düngemittel!$B$6:$E$64,4,FALSE)*AJ15</f>
        <v>0</v>
      </c>
      <c r="AN15" s="666"/>
      <c r="AO15" s="666"/>
      <c r="AP15" s="853">
        <f t="shared" si="12"/>
        <v>0</v>
      </c>
      <c r="AQ15" s="308">
        <f t="shared" si="13"/>
        <v>0</v>
      </c>
      <c r="AR15" s="853">
        <f t="shared" si="14"/>
        <v>0</v>
      </c>
      <c r="AS15" s="777">
        <f t="shared" si="15"/>
        <v>0</v>
      </c>
      <c r="AT15" s="308">
        <f t="shared" si="16"/>
        <v>0</v>
      </c>
      <c r="AU15" s="785"/>
      <c r="AV15" s="853">
        <f t="shared" si="17"/>
        <v>0</v>
      </c>
      <c r="AW15" s="853">
        <f t="shared" si="18"/>
        <v>0</v>
      </c>
      <c r="AX15" s="853">
        <f t="shared" si="19"/>
        <v>0</v>
      </c>
      <c r="AY15" s="853">
        <f t="shared" si="20"/>
        <v>0</v>
      </c>
      <c r="AZ15" s="853">
        <f t="shared" si="21"/>
        <v>0</v>
      </c>
      <c r="BA15" s="16"/>
      <c r="BB15" s="390" t="s">
        <v>1236</v>
      </c>
      <c r="BC15" s="390">
        <v>30</v>
      </c>
      <c r="BD15" s="390">
        <v>16</v>
      </c>
      <c r="BE15" s="390">
        <v>0.75</v>
      </c>
      <c r="BF15" s="739"/>
      <c r="BG15" s="739"/>
      <c r="BH15" s="739"/>
      <c r="BI15" s="739"/>
      <c r="BJ15" s="739"/>
      <c r="BK15" s="739"/>
    </row>
    <row r="16" spans="1:63" ht="23.25" customHeight="1" x14ac:dyDescent="0.25">
      <c r="A16" s="342">
        <v>9</v>
      </c>
      <c r="B16" s="1222">
        <v>0</v>
      </c>
      <c r="C16" s="997" t="s">
        <v>31</v>
      </c>
      <c r="D16" s="408">
        <f t="shared" si="0"/>
        <v>0</v>
      </c>
      <c r="E16" s="285">
        <f t="shared" si="1"/>
        <v>0</v>
      </c>
      <c r="F16" s="409">
        <f t="shared" si="6"/>
        <v>0</v>
      </c>
      <c r="G16" s="1218">
        <v>0</v>
      </c>
      <c r="H16" s="906">
        <v>0</v>
      </c>
      <c r="I16" s="897">
        <f t="shared" si="7"/>
        <v>0</v>
      </c>
      <c r="J16" s="433">
        <v>0</v>
      </c>
      <c r="K16" s="606">
        <f t="shared" si="8"/>
        <v>0</v>
      </c>
      <c r="L16" s="1220">
        <v>0</v>
      </c>
      <c r="M16" s="587">
        <f t="shared" si="9"/>
        <v>0</v>
      </c>
      <c r="N16" s="435">
        <f t="shared" si="2"/>
        <v>0</v>
      </c>
      <c r="O16" s="499">
        <f t="shared" si="3"/>
        <v>0</v>
      </c>
      <c r="P16" s="435">
        <f t="shared" si="4"/>
        <v>0</v>
      </c>
      <c r="Q16" s="474"/>
      <c r="R16" s="775">
        <f t="shared" si="10"/>
        <v>9</v>
      </c>
      <c r="S16" s="775" t="str">
        <f t="shared" si="11"/>
        <v>keine</v>
      </c>
      <c r="T16" s="901"/>
      <c r="U16" s="900" t="s">
        <v>805</v>
      </c>
      <c r="V16" s="324">
        <v>0</v>
      </c>
      <c r="W16" s="751">
        <f>VLOOKUP(U16,Düngemittel!$B$6:$E$64,2,FALSE)*(VLOOKUP(U16,Düngemittel!$B$6:$E$64,3,FALSE))/100*V16</f>
        <v>0</v>
      </c>
      <c r="X16" s="687">
        <f>VLOOKUP(U16,Düngemittel!$B$6:$E$64,2,FALSE)*V16</f>
        <v>0</v>
      </c>
      <c r="Y16" s="687">
        <f>VLOOKUP(U16,Düngemittel!$B$6:$E$64,4,FALSE)*V16</f>
        <v>0</v>
      </c>
      <c r="Z16" s="666"/>
      <c r="AA16" s="899"/>
      <c r="AB16" s="900" t="s">
        <v>805</v>
      </c>
      <c r="AC16" s="978">
        <v>0</v>
      </c>
      <c r="AD16" s="751">
        <f>VLOOKUP(AB16,Düngemittel!$B$6:$E$64,2,FALSE)*(VLOOKUP(AB16,Düngemittel!$B$6:$E$64,3,FALSE))/100*AC16</f>
        <v>0</v>
      </c>
      <c r="AE16" s="687">
        <f>VLOOKUP(AB16,Düngemittel!$B$6:$E$64,2,FALSE)*AC16</f>
        <v>0</v>
      </c>
      <c r="AF16" s="687">
        <f>VLOOKUP(AB16,Düngemittel!$B$6:$E$64,4,FALSE)*AC16</f>
        <v>0</v>
      </c>
      <c r="AG16" s="666"/>
      <c r="AH16" s="899"/>
      <c r="AI16" s="900" t="s">
        <v>805</v>
      </c>
      <c r="AJ16" s="978">
        <v>0</v>
      </c>
      <c r="AK16" s="751">
        <f>VLOOKUP(AI16,Düngemittel!$B$6:$E$64,2,FALSE)*(VLOOKUP(AI16,Düngemittel!$B$6:$E$64,3,FALSE))/100*AJ16</f>
        <v>0</v>
      </c>
      <c r="AL16" s="687">
        <f>VLOOKUP(AI16,Düngemittel!$B$6:$E$64,2,FALSE)*AJ16</f>
        <v>0</v>
      </c>
      <c r="AM16" s="687">
        <f>VLOOKUP(AI16,Düngemittel!$B$6:$E$64,4,FALSE)*AJ16</f>
        <v>0</v>
      </c>
      <c r="AN16" s="666"/>
      <c r="AO16" s="666"/>
      <c r="AP16" s="853">
        <f t="shared" si="12"/>
        <v>0</v>
      </c>
      <c r="AQ16" s="308">
        <f t="shared" si="13"/>
        <v>0</v>
      </c>
      <c r="AR16" s="853">
        <f t="shared" si="14"/>
        <v>0</v>
      </c>
      <c r="AS16" s="777">
        <f t="shared" si="15"/>
        <v>0</v>
      </c>
      <c r="AT16" s="308">
        <f t="shared" si="16"/>
        <v>0</v>
      </c>
      <c r="AU16" s="785"/>
      <c r="AV16" s="853">
        <f t="shared" si="17"/>
        <v>0</v>
      </c>
      <c r="AW16" s="853">
        <f t="shared" si="18"/>
        <v>0</v>
      </c>
      <c r="AX16" s="853">
        <f t="shared" si="19"/>
        <v>0</v>
      </c>
      <c r="AY16" s="853">
        <f t="shared" si="20"/>
        <v>0</v>
      </c>
      <c r="AZ16" s="853">
        <f t="shared" si="21"/>
        <v>0</v>
      </c>
      <c r="BA16" s="16"/>
      <c r="BB16" s="391"/>
      <c r="BC16" s="390"/>
      <c r="BD16" s="390"/>
      <c r="BE16" s="390"/>
      <c r="BF16" s="739"/>
      <c r="BG16" s="739"/>
      <c r="BH16" s="739"/>
      <c r="BI16" s="739"/>
      <c r="BJ16" s="739"/>
      <c r="BK16" s="739"/>
    </row>
    <row r="17" spans="1:63" ht="23.25" customHeight="1" x14ac:dyDescent="0.25">
      <c r="A17" s="342">
        <v>10</v>
      </c>
      <c r="B17" s="1222">
        <v>0</v>
      </c>
      <c r="C17" s="997" t="s">
        <v>31</v>
      </c>
      <c r="D17" s="408">
        <f t="shared" si="0"/>
        <v>0</v>
      </c>
      <c r="E17" s="285">
        <f t="shared" si="1"/>
        <v>0</v>
      </c>
      <c r="F17" s="409">
        <f t="shared" si="6"/>
        <v>0</v>
      </c>
      <c r="G17" s="1218">
        <v>0</v>
      </c>
      <c r="H17" s="906">
        <v>0</v>
      </c>
      <c r="I17" s="897">
        <f t="shared" si="7"/>
        <v>0</v>
      </c>
      <c r="J17" s="433">
        <v>0</v>
      </c>
      <c r="K17" s="606">
        <f t="shared" si="8"/>
        <v>0</v>
      </c>
      <c r="L17" s="1220">
        <v>0</v>
      </c>
      <c r="M17" s="587">
        <f t="shared" si="9"/>
        <v>0</v>
      </c>
      <c r="N17" s="435">
        <f t="shared" si="2"/>
        <v>0</v>
      </c>
      <c r="O17" s="499">
        <f t="shared" si="3"/>
        <v>0</v>
      </c>
      <c r="P17" s="435">
        <f t="shared" si="4"/>
        <v>0</v>
      </c>
      <c r="Q17" s="474"/>
      <c r="R17" s="775">
        <f t="shared" si="10"/>
        <v>10</v>
      </c>
      <c r="S17" s="775" t="str">
        <f t="shared" si="11"/>
        <v>keine</v>
      </c>
      <c r="T17" s="901"/>
      <c r="U17" s="900" t="s">
        <v>805</v>
      </c>
      <c r="V17" s="324">
        <v>0</v>
      </c>
      <c r="W17" s="751">
        <f>VLOOKUP(U17,Düngemittel!$B$6:$E$64,2,FALSE)*(VLOOKUP(U17,Düngemittel!$B$6:$E$64,3,FALSE))/100*V17</f>
        <v>0</v>
      </c>
      <c r="X17" s="687">
        <f>VLOOKUP(U17,Düngemittel!$B$6:$E$64,2,FALSE)*V17</f>
        <v>0</v>
      </c>
      <c r="Y17" s="687">
        <f>VLOOKUP(U17,Düngemittel!$B$6:$E$64,4,FALSE)*V17</f>
        <v>0</v>
      </c>
      <c r="Z17" s="666"/>
      <c r="AA17" s="899"/>
      <c r="AB17" s="900" t="s">
        <v>805</v>
      </c>
      <c r="AC17" s="978">
        <v>0</v>
      </c>
      <c r="AD17" s="751">
        <f>VLOOKUP(AB17,Düngemittel!$B$6:$E$64,2,FALSE)*(VLOOKUP(AB17,Düngemittel!$B$6:$E$64,3,FALSE))/100*AC17</f>
        <v>0</v>
      </c>
      <c r="AE17" s="687">
        <f>VLOOKUP(AB17,Düngemittel!$B$6:$E$64,2,FALSE)*AC17</f>
        <v>0</v>
      </c>
      <c r="AF17" s="687">
        <f>VLOOKUP(AB17,Düngemittel!$B$6:$E$64,4,FALSE)*AC17</f>
        <v>0</v>
      </c>
      <c r="AG17" s="666"/>
      <c r="AH17" s="899"/>
      <c r="AI17" s="900" t="s">
        <v>805</v>
      </c>
      <c r="AJ17" s="978">
        <v>0</v>
      </c>
      <c r="AK17" s="751">
        <f>VLOOKUP(AI17,Düngemittel!$B$6:$E$64,2,FALSE)*(VLOOKUP(AI17,Düngemittel!$B$6:$E$64,3,FALSE))/100*AJ17</f>
        <v>0</v>
      </c>
      <c r="AL17" s="687">
        <f>VLOOKUP(AI17,Düngemittel!$B$6:$E$64,2,FALSE)*AJ17</f>
        <v>0</v>
      </c>
      <c r="AM17" s="687">
        <f>VLOOKUP(AI17,Düngemittel!$B$6:$E$64,4,FALSE)*AJ17</f>
        <v>0</v>
      </c>
      <c r="AN17" s="666"/>
      <c r="AO17" s="666"/>
      <c r="AP17" s="853">
        <f t="shared" si="12"/>
        <v>0</v>
      </c>
      <c r="AQ17" s="308">
        <f t="shared" si="13"/>
        <v>0</v>
      </c>
      <c r="AR17" s="853">
        <f t="shared" si="14"/>
        <v>0</v>
      </c>
      <c r="AS17" s="777">
        <f t="shared" si="15"/>
        <v>0</v>
      </c>
      <c r="AT17" s="308">
        <f t="shared" si="16"/>
        <v>0</v>
      </c>
      <c r="AU17" s="785"/>
      <c r="AV17" s="853">
        <f t="shared" si="17"/>
        <v>0</v>
      </c>
      <c r="AW17" s="853">
        <f t="shared" si="18"/>
        <v>0</v>
      </c>
      <c r="AX17" s="853">
        <f t="shared" si="19"/>
        <v>0</v>
      </c>
      <c r="AY17" s="853">
        <f t="shared" si="20"/>
        <v>0</v>
      </c>
      <c r="AZ17" s="853">
        <f t="shared" si="21"/>
        <v>0</v>
      </c>
      <c r="BA17" s="16"/>
      <c r="BB17" s="391"/>
      <c r="BC17" s="390"/>
      <c r="BD17" s="390"/>
      <c r="BE17" s="390"/>
      <c r="BF17" s="739"/>
      <c r="BG17" s="739"/>
      <c r="BH17" s="739"/>
      <c r="BI17" s="739"/>
      <c r="BJ17" s="739"/>
      <c r="BK17" s="739"/>
    </row>
    <row r="18" spans="1:63" ht="23.25" customHeight="1" x14ac:dyDescent="0.25">
      <c r="A18" s="342">
        <v>11</v>
      </c>
      <c r="B18" s="1222">
        <v>0</v>
      </c>
      <c r="C18" s="997" t="s">
        <v>31</v>
      </c>
      <c r="D18" s="408">
        <f t="shared" si="0"/>
        <v>0</v>
      </c>
      <c r="E18" s="285">
        <f t="shared" si="1"/>
        <v>0</v>
      </c>
      <c r="F18" s="409">
        <f t="shared" si="6"/>
        <v>0</v>
      </c>
      <c r="G18" s="1218">
        <v>0</v>
      </c>
      <c r="H18" s="906">
        <v>0</v>
      </c>
      <c r="I18" s="897">
        <f t="shared" si="7"/>
        <v>0</v>
      </c>
      <c r="J18" s="433">
        <v>0</v>
      </c>
      <c r="K18" s="606">
        <f t="shared" si="8"/>
        <v>0</v>
      </c>
      <c r="L18" s="1220">
        <v>0</v>
      </c>
      <c r="M18" s="587">
        <f t="shared" si="9"/>
        <v>0</v>
      </c>
      <c r="N18" s="435">
        <f t="shared" si="2"/>
        <v>0</v>
      </c>
      <c r="O18" s="499">
        <f t="shared" si="3"/>
        <v>0</v>
      </c>
      <c r="P18" s="435">
        <f t="shared" si="4"/>
        <v>0</v>
      </c>
      <c r="Q18" s="474"/>
      <c r="R18" s="775">
        <f t="shared" si="10"/>
        <v>11</v>
      </c>
      <c r="S18" s="775" t="str">
        <f t="shared" si="11"/>
        <v>keine</v>
      </c>
      <c r="T18" s="901"/>
      <c r="U18" s="900" t="s">
        <v>805</v>
      </c>
      <c r="V18" s="324">
        <v>0</v>
      </c>
      <c r="W18" s="751">
        <f>VLOOKUP(U18,Düngemittel!$B$6:$E$64,2,FALSE)*(VLOOKUP(U18,Düngemittel!$B$6:$E$64,3,FALSE))/100*V18</f>
        <v>0</v>
      </c>
      <c r="X18" s="687">
        <f>VLOOKUP(U18,Düngemittel!$B$6:$E$64,2,FALSE)*V18</f>
        <v>0</v>
      </c>
      <c r="Y18" s="687">
        <f>VLOOKUP(U18,Düngemittel!$B$6:$E$64,4,FALSE)*V18</f>
        <v>0</v>
      </c>
      <c r="Z18" s="666"/>
      <c r="AA18" s="899"/>
      <c r="AB18" s="900" t="s">
        <v>805</v>
      </c>
      <c r="AC18" s="978">
        <v>0</v>
      </c>
      <c r="AD18" s="751">
        <f>VLOOKUP(AB18,Düngemittel!$B$6:$E$64,2,FALSE)*(VLOOKUP(AB18,Düngemittel!$B$6:$E$64,3,FALSE))/100*AC18</f>
        <v>0</v>
      </c>
      <c r="AE18" s="687">
        <f>VLOOKUP(AB18,Düngemittel!$B$6:$E$64,2,FALSE)*AC18</f>
        <v>0</v>
      </c>
      <c r="AF18" s="687">
        <f>VLOOKUP(AB18,Düngemittel!$B$6:$E$64,4,FALSE)*AC18</f>
        <v>0</v>
      </c>
      <c r="AG18" s="666"/>
      <c r="AH18" s="899"/>
      <c r="AI18" s="900" t="s">
        <v>805</v>
      </c>
      <c r="AJ18" s="978">
        <v>0</v>
      </c>
      <c r="AK18" s="751">
        <f>VLOOKUP(AI18,Düngemittel!$B$6:$E$64,2,FALSE)*(VLOOKUP(AI18,Düngemittel!$B$6:$E$64,3,FALSE))/100*AJ18</f>
        <v>0</v>
      </c>
      <c r="AL18" s="687">
        <f>VLOOKUP(AI18,Düngemittel!$B$6:$E$64,2,FALSE)*AJ18</f>
        <v>0</v>
      </c>
      <c r="AM18" s="687">
        <f>VLOOKUP(AI18,Düngemittel!$B$6:$E$64,4,FALSE)*AJ18</f>
        <v>0</v>
      </c>
      <c r="AN18" s="666"/>
      <c r="AO18" s="666"/>
      <c r="AP18" s="853">
        <f t="shared" si="12"/>
        <v>0</v>
      </c>
      <c r="AQ18" s="308">
        <f t="shared" si="13"/>
        <v>0</v>
      </c>
      <c r="AR18" s="853">
        <f t="shared" si="14"/>
        <v>0</v>
      </c>
      <c r="AS18" s="777">
        <f t="shared" si="15"/>
        <v>0</v>
      </c>
      <c r="AT18" s="308">
        <f t="shared" si="16"/>
        <v>0</v>
      </c>
      <c r="AU18" s="785"/>
      <c r="AV18" s="853">
        <f t="shared" si="17"/>
        <v>0</v>
      </c>
      <c r="AW18" s="853">
        <f t="shared" si="18"/>
        <v>0</v>
      </c>
      <c r="AX18" s="853">
        <f t="shared" si="19"/>
        <v>0</v>
      </c>
      <c r="AY18" s="853">
        <f t="shared" si="20"/>
        <v>0</v>
      </c>
      <c r="AZ18" s="853">
        <f t="shared" si="21"/>
        <v>0</v>
      </c>
      <c r="BA18" s="16"/>
      <c r="BB18" s="391"/>
      <c r="BC18" s="390"/>
      <c r="BD18" s="390"/>
      <c r="BE18" s="390"/>
      <c r="BF18" s="739"/>
      <c r="BG18" s="740"/>
      <c r="BH18" s="742"/>
      <c r="BI18" s="739"/>
      <c r="BJ18" s="739"/>
      <c r="BK18" s="739"/>
    </row>
    <row r="19" spans="1:63" ht="23.25" customHeight="1" x14ac:dyDescent="0.25">
      <c r="A19" s="342">
        <v>12</v>
      </c>
      <c r="B19" s="1222">
        <v>0</v>
      </c>
      <c r="C19" s="997" t="s">
        <v>31</v>
      </c>
      <c r="D19" s="408">
        <f t="shared" si="0"/>
        <v>0</v>
      </c>
      <c r="E19" s="285">
        <f t="shared" si="1"/>
        <v>0</v>
      </c>
      <c r="F19" s="409">
        <f t="shared" si="6"/>
        <v>0</v>
      </c>
      <c r="G19" s="1218">
        <v>0</v>
      </c>
      <c r="H19" s="906">
        <v>0</v>
      </c>
      <c r="I19" s="897">
        <f t="shared" si="7"/>
        <v>0</v>
      </c>
      <c r="J19" s="433">
        <v>0</v>
      </c>
      <c r="K19" s="606">
        <f t="shared" si="8"/>
        <v>0</v>
      </c>
      <c r="L19" s="1220">
        <v>0</v>
      </c>
      <c r="M19" s="587">
        <f t="shared" si="9"/>
        <v>0</v>
      </c>
      <c r="N19" s="435">
        <f t="shared" si="2"/>
        <v>0</v>
      </c>
      <c r="O19" s="499">
        <f t="shared" si="3"/>
        <v>0</v>
      </c>
      <c r="P19" s="435">
        <f t="shared" si="4"/>
        <v>0</v>
      </c>
      <c r="Q19" s="474"/>
      <c r="R19" s="775">
        <f t="shared" si="10"/>
        <v>12</v>
      </c>
      <c r="S19" s="775" t="str">
        <f t="shared" si="11"/>
        <v>keine</v>
      </c>
      <c r="T19" s="901"/>
      <c r="U19" s="900" t="s">
        <v>805</v>
      </c>
      <c r="V19" s="324">
        <v>0</v>
      </c>
      <c r="W19" s="751">
        <f>VLOOKUP(U19,Düngemittel!$B$6:$E$64,2,FALSE)*(VLOOKUP(U19,Düngemittel!$B$6:$E$64,3,FALSE))/100*V19</f>
        <v>0</v>
      </c>
      <c r="X19" s="687">
        <f>VLOOKUP(U19,Düngemittel!$B$6:$E$64,2,FALSE)*V19</f>
        <v>0</v>
      </c>
      <c r="Y19" s="687">
        <f>VLOOKUP(U19,Düngemittel!$B$6:$E$64,4,FALSE)*V19</f>
        <v>0</v>
      </c>
      <c r="Z19" s="666"/>
      <c r="AA19" s="899"/>
      <c r="AB19" s="900" t="s">
        <v>805</v>
      </c>
      <c r="AC19" s="978">
        <v>0</v>
      </c>
      <c r="AD19" s="751">
        <f>VLOOKUP(AB19,Düngemittel!$B$6:$E$64,2,FALSE)*(VLOOKUP(AB19,Düngemittel!$B$6:$E$64,3,FALSE))/100*AC19</f>
        <v>0</v>
      </c>
      <c r="AE19" s="687">
        <f>VLOOKUP(AB19,Düngemittel!$B$6:$E$64,2,FALSE)*AC19</f>
        <v>0</v>
      </c>
      <c r="AF19" s="687">
        <f>VLOOKUP(AB19,Düngemittel!$B$6:$E$64,4,FALSE)*AC19</f>
        <v>0</v>
      </c>
      <c r="AG19" s="666"/>
      <c r="AH19" s="899"/>
      <c r="AI19" s="900" t="s">
        <v>805</v>
      </c>
      <c r="AJ19" s="978">
        <v>0</v>
      </c>
      <c r="AK19" s="751">
        <f>VLOOKUP(AI19,Düngemittel!$B$6:$E$64,2,FALSE)*(VLOOKUP(AI19,Düngemittel!$B$6:$E$64,3,FALSE))/100*AJ19</f>
        <v>0</v>
      </c>
      <c r="AL19" s="687">
        <f>VLOOKUP(AI19,Düngemittel!$B$6:$E$64,2,FALSE)*AJ19</f>
        <v>0</v>
      </c>
      <c r="AM19" s="687">
        <f>VLOOKUP(AI19,Düngemittel!$B$6:$E$64,4,FALSE)*AJ19</f>
        <v>0</v>
      </c>
      <c r="AN19" s="666"/>
      <c r="AO19" s="666"/>
      <c r="AP19" s="853">
        <f t="shared" si="12"/>
        <v>0</v>
      </c>
      <c r="AQ19" s="308">
        <f t="shared" si="13"/>
        <v>0</v>
      </c>
      <c r="AR19" s="853">
        <f t="shared" si="14"/>
        <v>0</v>
      </c>
      <c r="AS19" s="777">
        <f t="shared" si="15"/>
        <v>0</v>
      </c>
      <c r="AT19" s="308">
        <f t="shared" si="16"/>
        <v>0</v>
      </c>
      <c r="AU19" s="785"/>
      <c r="AV19" s="853">
        <f t="shared" si="17"/>
        <v>0</v>
      </c>
      <c r="AW19" s="853">
        <f t="shared" si="18"/>
        <v>0</v>
      </c>
      <c r="AX19" s="853">
        <f t="shared" si="19"/>
        <v>0</v>
      </c>
      <c r="AY19" s="853">
        <f t="shared" si="20"/>
        <v>0</v>
      </c>
      <c r="AZ19" s="853">
        <f t="shared" si="21"/>
        <v>0</v>
      </c>
      <c r="BA19" s="16"/>
      <c r="BB19" s="391"/>
      <c r="BC19" s="390"/>
      <c r="BD19" s="390"/>
      <c r="BE19" s="390"/>
      <c r="BF19" s="739"/>
      <c r="BG19" s="739"/>
      <c r="BH19" s="739"/>
      <c r="BI19" s="739"/>
      <c r="BJ19" s="739"/>
      <c r="BK19" s="739"/>
    </row>
    <row r="20" spans="1:63" ht="23.25" customHeight="1" x14ac:dyDescent="0.25">
      <c r="A20" s="342">
        <v>13</v>
      </c>
      <c r="B20" s="1222">
        <v>0</v>
      </c>
      <c r="C20" s="997" t="s">
        <v>31</v>
      </c>
      <c r="D20" s="408">
        <f t="shared" si="0"/>
        <v>0</v>
      </c>
      <c r="E20" s="285">
        <f t="shared" si="1"/>
        <v>0</v>
      </c>
      <c r="F20" s="409">
        <f t="shared" si="6"/>
        <v>0</v>
      </c>
      <c r="G20" s="1218">
        <v>0</v>
      </c>
      <c r="H20" s="906">
        <v>0</v>
      </c>
      <c r="I20" s="897">
        <f t="shared" si="7"/>
        <v>0</v>
      </c>
      <c r="J20" s="433">
        <v>0</v>
      </c>
      <c r="K20" s="606">
        <f t="shared" si="8"/>
        <v>0</v>
      </c>
      <c r="L20" s="1220">
        <v>0</v>
      </c>
      <c r="M20" s="587">
        <f t="shared" si="9"/>
        <v>0</v>
      </c>
      <c r="N20" s="435">
        <f t="shared" si="2"/>
        <v>0</v>
      </c>
      <c r="O20" s="499">
        <f t="shared" si="3"/>
        <v>0</v>
      </c>
      <c r="P20" s="435">
        <f t="shared" si="4"/>
        <v>0</v>
      </c>
      <c r="Q20" s="474"/>
      <c r="R20" s="775">
        <f t="shared" si="10"/>
        <v>13</v>
      </c>
      <c r="S20" s="775" t="str">
        <f t="shared" si="11"/>
        <v>keine</v>
      </c>
      <c r="T20" s="901"/>
      <c r="U20" s="900" t="s">
        <v>805</v>
      </c>
      <c r="V20" s="324">
        <v>0</v>
      </c>
      <c r="W20" s="751">
        <f>VLOOKUP(U20,Düngemittel!$B$6:$E$64,2,FALSE)*(VLOOKUP(U20,Düngemittel!$B$6:$E$64,3,FALSE))/100*V20</f>
        <v>0</v>
      </c>
      <c r="X20" s="687">
        <f>VLOOKUP(U20,Düngemittel!$B$6:$E$64,2,FALSE)*V20</f>
        <v>0</v>
      </c>
      <c r="Y20" s="687">
        <f>VLOOKUP(U20,Düngemittel!$B$6:$E$64,4,FALSE)*V20</f>
        <v>0</v>
      </c>
      <c r="Z20" s="666"/>
      <c r="AA20" s="899"/>
      <c r="AB20" s="900" t="s">
        <v>805</v>
      </c>
      <c r="AC20" s="978">
        <v>0</v>
      </c>
      <c r="AD20" s="751">
        <f>VLOOKUP(AB20,Düngemittel!$B$6:$E$64,2,FALSE)*(VLOOKUP(AB20,Düngemittel!$B$6:$E$64,3,FALSE))/100*AC20</f>
        <v>0</v>
      </c>
      <c r="AE20" s="687">
        <f>VLOOKUP(AB20,Düngemittel!$B$6:$E$64,2,FALSE)*AC20</f>
        <v>0</v>
      </c>
      <c r="AF20" s="687">
        <f>VLOOKUP(AB20,Düngemittel!$B$6:$E$64,4,FALSE)*AC20</f>
        <v>0</v>
      </c>
      <c r="AG20" s="666"/>
      <c r="AH20" s="899"/>
      <c r="AI20" s="900" t="s">
        <v>805</v>
      </c>
      <c r="AJ20" s="978">
        <v>0</v>
      </c>
      <c r="AK20" s="751">
        <f>VLOOKUP(AI20,Düngemittel!$B$6:$E$64,2,FALSE)*(VLOOKUP(AI20,Düngemittel!$B$6:$E$64,3,FALSE))/100*AJ20</f>
        <v>0</v>
      </c>
      <c r="AL20" s="687">
        <f>VLOOKUP(AI20,Düngemittel!$B$6:$E$64,2,FALSE)*AJ20</f>
        <v>0</v>
      </c>
      <c r="AM20" s="687">
        <f>VLOOKUP(AI20,Düngemittel!$B$6:$E$64,4,FALSE)*AJ20</f>
        <v>0</v>
      </c>
      <c r="AN20" s="666"/>
      <c r="AO20" s="666"/>
      <c r="AP20" s="853">
        <f t="shared" si="12"/>
        <v>0</v>
      </c>
      <c r="AQ20" s="308">
        <f t="shared" si="13"/>
        <v>0</v>
      </c>
      <c r="AR20" s="853">
        <f t="shared" si="14"/>
        <v>0</v>
      </c>
      <c r="AS20" s="777">
        <f t="shared" si="15"/>
        <v>0</v>
      </c>
      <c r="AT20" s="308">
        <f t="shared" si="16"/>
        <v>0</v>
      </c>
      <c r="AU20" s="785"/>
      <c r="AV20" s="853">
        <f t="shared" si="17"/>
        <v>0</v>
      </c>
      <c r="AW20" s="853">
        <f t="shared" si="18"/>
        <v>0</v>
      </c>
      <c r="AX20" s="853">
        <f t="shared" si="19"/>
        <v>0</v>
      </c>
      <c r="AY20" s="853">
        <f t="shared" si="20"/>
        <v>0</v>
      </c>
      <c r="AZ20" s="853">
        <f t="shared" si="21"/>
        <v>0</v>
      </c>
      <c r="BA20" s="16"/>
      <c r="BB20" s="391"/>
      <c r="BC20" s="390"/>
      <c r="BD20" s="390"/>
      <c r="BE20" s="390"/>
      <c r="BF20" s="739"/>
      <c r="BG20" s="739"/>
      <c r="BH20" s="739"/>
      <c r="BI20" s="739"/>
      <c r="BJ20" s="739"/>
      <c r="BK20" s="739"/>
    </row>
    <row r="21" spans="1:63" ht="23.25" customHeight="1" x14ac:dyDescent="0.25">
      <c r="A21" s="342">
        <v>14</v>
      </c>
      <c r="B21" s="1222">
        <v>0</v>
      </c>
      <c r="C21" s="997" t="s">
        <v>31</v>
      </c>
      <c r="D21" s="408">
        <f t="shared" si="0"/>
        <v>0</v>
      </c>
      <c r="E21" s="285">
        <f t="shared" si="1"/>
        <v>0</v>
      </c>
      <c r="F21" s="409">
        <f t="shared" si="6"/>
        <v>0</v>
      </c>
      <c r="G21" s="1218">
        <v>0</v>
      </c>
      <c r="H21" s="906">
        <v>0</v>
      </c>
      <c r="I21" s="897">
        <f t="shared" si="7"/>
        <v>0</v>
      </c>
      <c r="J21" s="433">
        <v>0</v>
      </c>
      <c r="K21" s="606">
        <f t="shared" si="8"/>
        <v>0</v>
      </c>
      <c r="L21" s="1220">
        <v>0</v>
      </c>
      <c r="M21" s="587">
        <f t="shared" si="9"/>
        <v>0</v>
      </c>
      <c r="N21" s="435">
        <f t="shared" si="2"/>
        <v>0</v>
      </c>
      <c r="O21" s="499">
        <f t="shared" si="3"/>
        <v>0</v>
      </c>
      <c r="P21" s="435">
        <f t="shared" si="4"/>
        <v>0</v>
      </c>
      <c r="Q21" s="474"/>
      <c r="R21" s="775">
        <f t="shared" si="10"/>
        <v>14</v>
      </c>
      <c r="S21" s="775" t="str">
        <f t="shared" si="11"/>
        <v>keine</v>
      </c>
      <c r="T21" s="901"/>
      <c r="U21" s="900" t="s">
        <v>805</v>
      </c>
      <c r="V21" s="324">
        <v>0</v>
      </c>
      <c r="W21" s="751">
        <f>VLOOKUP(U21,Düngemittel!$B$6:$E$64,2,FALSE)*(VLOOKUP(U21,Düngemittel!$B$6:$E$64,3,FALSE))/100*V21</f>
        <v>0</v>
      </c>
      <c r="X21" s="687">
        <f>VLOOKUP(U21,Düngemittel!$B$6:$E$64,2,FALSE)*V21</f>
        <v>0</v>
      </c>
      <c r="Y21" s="687">
        <f>VLOOKUP(U21,Düngemittel!$B$6:$E$64,4,FALSE)*V21</f>
        <v>0</v>
      </c>
      <c r="Z21" s="666"/>
      <c r="AA21" s="899"/>
      <c r="AB21" s="900" t="s">
        <v>805</v>
      </c>
      <c r="AC21" s="978">
        <v>0</v>
      </c>
      <c r="AD21" s="751">
        <f>VLOOKUP(AB21,Düngemittel!$B$6:$E$64,2,FALSE)*(VLOOKUP(AB21,Düngemittel!$B$6:$E$64,3,FALSE))/100*AC21</f>
        <v>0</v>
      </c>
      <c r="AE21" s="687">
        <f>VLOOKUP(AB21,Düngemittel!$B$6:$E$64,2,FALSE)*AC21</f>
        <v>0</v>
      </c>
      <c r="AF21" s="687">
        <f>VLOOKUP(AB21,Düngemittel!$B$6:$E$64,4,FALSE)*AC21</f>
        <v>0</v>
      </c>
      <c r="AG21" s="666"/>
      <c r="AH21" s="899"/>
      <c r="AI21" s="900" t="s">
        <v>805</v>
      </c>
      <c r="AJ21" s="978">
        <v>0</v>
      </c>
      <c r="AK21" s="751">
        <f>VLOOKUP(AI21,Düngemittel!$B$6:$E$64,2,FALSE)*(VLOOKUP(AI21,Düngemittel!$B$6:$E$64,3,FALSE))/100*AJ21</f>
        <v>0</v>
      </c>
      <c r="AL21" s="687">
        <f>VLOOKUP(AI21,Düngemittel!$B$6:$E$64,2,FALSE)*AJ21</f>
        <v>0</v>
      </c>
      <c r="AM21" s="687">
        <f>VLOOKUP(AI21,Düngemittel!$B$6:$E$64,4,FALSE)*AJ21</f>
        <v>0</v>
      </c>
      <c r="AN21" s="666"/>
      <c r="AO21" s="666"/>
      <c r="AP21" s="853">
        <f t="shared" si="12"/>
        <v>0</v>
      </c>
      <c r="AQ21" s="308">
        <f t="shared" si="13"/>
        <v>0</v>
      </c>
      <c r="AR21" s="853">
        <f t="shared" si="14"/>
        <v>0</v>
      </c>
      <c r="AS21" s="777">
        <f t="shared" si="15"/>
        <v>0</v>
      </c>
      <c r="AT21" s="308">
        <f t="shared" si="16"/>
        <v>0</v>
      </c>
      <c r="AU21" s="785"/>
      <c r="AV21" s="853">
        <f t="shared" si="17"/>
        <v>0</v>
      </c>
      <c r="AW21" s="853">
        <f t="shared" si="18"/>
        <v>0</v>
      </c>
      <c r="AX21" s="853">
        <f t="shared" si="19"/>
        <v>0</v>
      </c>
      <c r="AY21" s="853">
        <f t="shared" si="20"/>
        <v>0</v>
      </c>
      <c r="AZ21" s="853">
        <f t="shared" si="21"/>
        <v>0</v>
      </c>
      <c r="BA21" s="16"/>
      <c r="BB21" s="390"/>
      <c r="BC21" s="390"/>
      <c r="BD21" s="390"/>
      <c r="BE21" s="390"/>
      <c r="BF21" s="739"/>
      <c r="BG21" s="739"/>
      <c r="BH21" s="739"/>
      <c r="BI21" s="739"/>
      <c r="BJ21" s="739"/>
      <c r="BK21" s="739"/>
    </row>
    <row r="22" spans="1:63" ht="23.25" customHeight="1" x14ac:dyDescent="0.25">
      <c r="A22" s="342">
        <v>15</v>
      </c>
      <c r="B22" s="1222">
        <v>0</v>
      </c>
      <c r="C22" s="997" t="s">
        <v>31</v>
      </c>
      <c r="D22" s="408">
        <f t="shared" si="0"/>
        <v>0</v>
      </c>
      <c r="E22" s="285">
        <f t="shared" si="1"/>
        <v>0</v>
      </c>
      <c r="F22" s="409">
        <f t="shared" si="6"/>
        <v>0</v>
      </c>
      <c r="G22" s="1218">
        <v>0</v>
      </c>
      <c r="H22" s="906">
        <v>0</v>
      </c>
      <c r="I22" s="897">
        <f t="shared" si="7"/>
        <v>0</v>
      </c>
      <c r="J22" s="433">
        <v>0</v>
      </c>
      <c r="K22" s="606">
        <f t="shared" si="8"/>
        <v>0</v>
      </c>
      <c r="L22" s="1220">
        <v>0</v>
      </c>
      <c r="M22" s="587">
        <f t="shared" si="9"/>
        <v>0</v>
      </c>
      <c r="N22" s="435">
        <f t="shared" si="2"/>
        <v>0</v>
      </c>
      <c r="O22" s="499">
        <f t="shared" si="3"/>
        <v>0</v>
      </c>
      <c r="P22" s="435">
        <f t="shared" si="4"/>
        <v>0</v>
      </c>
      <c r="Q22" s="474"/>
      <c r="R22" s="775">
        <f t="shared" si="10"/>
        <v>15</v>
      </c>
      <c r="S22" s="775" t="str">
        <f t="shared" si="11"/>
        <v>keine</v>
      </c>
      <c r="T22" s="901"/>
      <c r="U22" s="900" t="s">
        <v>805</v>
      </c>
      <c r="V22" s="324">
        <v>0</v>
      </c>
      <c r="W22" s="751">
        <f>VLOOKUP(U22,Düngemittel!$B$6:$E$64,2,FALSE)*(VLOOKUP(U22,Düngemittel!$B$6:$E$64,3,FALSE))/100*V22</f>
        <v>0</v>
      </c>
      <c r="X22" s="687">
        <f>VLOOKUP(U22,Düngemittel!$B$6:$E$64,2,FALSE)*V22</f>
        <v>0</v>
      </c>
      <c r="Y22" s="687">
        <f>VLOOKUP(U22,Düngemittel!$B$6:$E$64,4,FALSE)*V22</f>
        <v>0</v>
      </c>
      <c r="Z22" s="666"/>
      <c r="AA22" s="899"/>
      <c r="AB22" s="900" t="s">
        <v>805</v>
      </c>
      <c r="AC22" s="978">
        <v>0</v>
      </c>
      <c r="AD22" s="751">
        <f>VLOOKUP(AB22,Düngemittel!$B$6:$E$64,2,FALSE)*(VLOOKUP(AB22,Düngemittel!$B$6:$E$64,3,FALSE))/100*AC22</f>
        <v>0</v>
      </c>
      <c r="AE22" s="687">
        <f>VLOOKUP(AB22,Düngemittel!$B$6:$E$64,2,FALSE)*AC22</f>
        <v>0</v>
      </c>
      <c r="AF22" s="687">
        <f>VLOOKUP(AB22,Düngemittel!$B$6:$E$64,4,FALSE)*AC22</f>
        <v>0</v>
      </c>
      <c r="AG22" s="666"/>
      <c r="AH22" s="899"/>
      <c r="AI22" s="900" t="s">
        <v>805</v>
      </c>
      <c r="AJ22" s="978">
        <v>0</v>
      </c>
      <c r="AK22" s="751">
        <f>VLOOKUP(AI22,Düngemittel!$B$6:$E$64,2,FALSE)*(VLOOKUP(AI22,Düngemittel!$B$6:$E$64,3,FALSE))/100*AJ22</f>
        <v>0</v>
      </c>
      <c r="AL22" s="687">
        <f>VLOOKUP(AI22,Düngemittel!$B$6:$E$64,2,FALSE)*AJ22</f>
        <v>0</v>
      </c>
      <c r="AM22" s="687">
        <f>VLOOKUP(AI22,Düngemittel!$B$6:$E$64,4,FALSE)*AJ22</f>
        <v>0</v>
      </c>
      <c r="AN22" s="666"/>
      <c r="AO22" s="666"/>
      <c r="AP22" s="853">
        <f t="shared" si="12"/>
        <v>0</v>
      </c>
      <c r="AQ22" s="308">
        <f t="shared" si="13"/>
        <v>0</v>
      </c>
      <c r="AR22" s="853">
        <f t="shared" si="14"/>
        <v>0</v>
      </c>
      <c r="AS22" s="777">
        <f t="shared" si="15"/>
        <v>0</v>
      </c>
      <c r="AT22" s="308">
        <f t="shared" si="16"/>
        <v>0</v>
      </c>
      <c r="AU22" s="785"/>
      <c r="AV22" s="853">
        <f t="shared" si="17"/>
        <v>0</v>
      </c>
      <c r="AW22" s="853">
        <f t="shared" si="18"/>
        <v>0</v>
      </c>
      <c r="AX22" s="853">
        <f t="shared" si="19"/>
        <v>0</v>
      </c>
      <c r="AY22" s="853">
        <f t="shared" si="20"/>
        <v>0</v>
      </c>
      <c r="AZ22" s="853">
        <f t="shared" si="21"/>
        <v>0</v>
      </c>
      <c r="BA22" s="16"/>
      <c r="BF22" s="739"/>
      <c r="BG22" s="739"/>
      <c r="BH22" s="739"/>
      <c r="BI22" s="739"/>
      <c r="BJ22" s="739"/>
      <c r="BK22" s="739"/>
    </row>
    <row r="23" spans="1:63" ht="23.25" customHeight="1" x14ac:dyDescent="0.25">
      <c r="A23" s="342">
        <v>16</v>
      </c>
      <c r="B23" s="1222">
        <v>0</v>
      </c>
      <c r="C23" s="997" t="s">
        <v>31</v>
      </c>
      <c r="D23" s="408">
        <f t="shared" si="0"/>
        <v>0</v>
      </c>
      <c r="E23" s="285">
        <f t="shared" si="1"/>
        <v>0</v>
      </c>
      <c r="F23" s="409">
        <f t="shared" si="6"/>
        <v>0</v>
      </c>
      <c r="G23" s="1218">
        <v>0</v>
      </c>
      <c r="H23" s="906">
        <v>0</v>
      </c>
      <c r="I23" s="897">
        <f t="shared" si="7"/>
        <v>0</v>
      </c>
      <c r="J23" s="433">
        <v>0</v>
      </c>
      <c r="K23" s="606">
        <f t="shared" si="8"/>
        <v>0</v>
      </c>
      <c r="L23" s="1220">
        <v>0</v>
      </c>
      <c r="M23" s="587">
        <f t="shared" si="9"/>
        <v>0</v>
      </c>
      <c r="N23" s="435">
        <f t="shared" si="2"/>
        <v>0</v>
      </c>
      <c r="O23" s="499">
        <f t="shared" si="3"/>
        <v>0</v>
      </c>
      <c r="P23" s="435">
        <f t="shared" si="4"/>
        <v>0</v>
      </c>
      <c r="Q23" s="474"/>
      <c r="R23" s="775">
        <f t="shared" si="10"/>
        <v>16</v>
      </c>
      <c r="S23" s="775" t="str">
        <f t="shared" si="11"/>
        <v>keine</v>
      </c>
      <c r="T23" s="901"/>
      <c r="U23" s="900" t="s">
        <v>805</v>
      </c>
      <c r="V23" s="324">
        <v>0</v>
      </c>
      <c r="W23" s="751">
        <f>VLOOKUP(U23,Düngemittel!$B$6:$E$64,2,FALSE)*(VLOOKUP(U23,Düngemittel!$B$6:$E$64,3,FALSE))/100*V23</f>
        <v>0</v>
      </c>
      <c r="X23" s="687">
        <f>VLOOKUP(U23,Düngemittel!$B$6:$E$64,2,FALSE)*V23</f>
        <v>0</v>
      </c>
      <c r="Y23" s="687">
        <f>VLOOKUP(U23,Düngemittel!$B$6:$E$64,4,FALSE)*V23</f>
        <v>0</v>
      </c>
      <c r="Z23" s="666"/>
      <c r="AA23" s="899"/>
      <c r="AB23" s="900" t="s">
        <v>805</v>
      </c>
      <c r="AC23" s="978">
        <v>0</v>
      </c>
      <c r="AD23" s="751">
        <f>VLOOKUP(AB23,Düngemittel!$B$6:$E$64,2,FALSE)*(VLOOKUP(AB23,Düngemittel!$B$6:$E$64,3,FALSE))/100*AC23</f>
        <v>0</v>
      </c>
      <c r="AE23" s="687">
        <f>VLOOKUP(AB23,Düngemittel!$B$6:$E$64,2,FALSE)*AC23</f>
        <v>0</v>
      </c>
      <c r="AF23" s="687">
        <f>VLOOKUP(AB23,Düngemittel!$B$6:$E$64,4,FALSE)*AC23</f>
        <v>0</v>
      </c>
      <c r="AG23" s="666"/>
      <c r="AH23" s="899"/>
      <c r="AI23" s="900" t="s">
        <v>805</v>
      </c>
      <c r="AJ23" s="978">
        <v>0</v>
      </c>
      <c r="AK23" s="751">
        <f>VLOOKUP(AI23,Düngemittel!$B$6:$E$64,2,FALSE)*(VLOOKUP(AI23,Düngemittel!$B$6:$E$64,3,FALSE))/100*AJ23</f>
        <v>0</v>
      </c>
      <c r="AL23" s="687">
        <f>VLOOKUP(AI23,Düngemittel!$B$6:$E$64,2,FALSE)*AJ23</f>
        <v>0</v>
      </c>
      <c r="AM23" s="687">
        <f>VLOOKUP(AI23,Düngemittel!$B$6:$E$64,4,FALSE)*AJ23</f>
        <v>0</v>
      </c>
      <c r="AN23" s="666"/>
      <c r="AO23" s="666"/>
      <c r="AP23" s="853">
        <f t="shared" si="12"/>
        <v>0</v>
      </c>
      <c r="AQ23" s="308">
        <f t="shared" si="13"/>
        <v>0</v>
      </c>
      <c r="AR23" s="853">
        <f t="shared" si="14"/>
        <v>0</v>
      </c>
      <c r="AS23" s="777">
        <f t="shared" si="15"/>
        <v>0</v>
      </c>
      <c r="AT23" s="308">
        <f t="shared" si="16"/>
        <v>0</v>
      </c>
      <c r="AU23" s="785"/>
      <c r="AV23" s="853">
        <f t="shared" si="17"/>
        <v>0</v>
      </c>
      <c r="AW23" s="853">
        <f t="shared" si="18"/>
        <v>0</v>
      </c>
      <c r="AX23" s="853">
        <f t="shared" si="19"/>
        <v>0</v>
      </c>
      <c r="AY23" s="853">
        <f t="shared" si="20"/>
        <v>0</v>
      </c>
      <c r="AZ23" s="853">
        <f t="shared" si="21"/>
        <v>0</v>
      </c>
      <c r="BA23" s="16"/>
      <c r="BF23" s="739"/>
      <c r="BG23" s="739"/>
      <c r="BH23" s="739"/>
      <c r="BI23" s="739"/>
      <c r="BJ23" s="739"/>
      <c r="BK23" s="739"/>
    </row>
    <row r="24" spans="1:63" ht="23.25" customHeight="1" x14ac:dyDescent="0.25">
      <c r="A24" s="342">
        <v>17</v>
      </c>
      <c r="B24" s="1222">
        <v>0</v>
      </c>
      <c r="C24" s="997" t="s">
        <v>31</v>
      </c>
      <c r="D24" s="408">
        <f t="shared" si="0"/>
        <v>0</v>
      </c>
      <c r="E24" s="285">
        <f t="shared" si="1"/>
        <v>0</v>
      </c>
      <c r="F24" s="409">
        <f t="shared" si="6"/>
        <v>0</v>
      </c>
      <c r="G24" s="1218">
        <v>0</v>
      </c>
      <c r="H24" s="906">
        <v>0</v>
      </c>
      <c r="I24" s="897">
        <f t="shared" si="7"/>
        <v>0</v>
      </c>
      <c r="J24" s="433">
        <v>0</v>
      </c>
      <c r="K24" s="606">
        <f t="shared" si="8"/>
        <v>0</v>
      </c>
      <c r="L24" s="1220">
        <v>0</v>
      </c>
      <c r="M24" s="587">
        <f t="shared" si="9"/>
        <v>0</v>
      </c>
      <c r="N24" s="435">
        <f t="shared" si="2"/>
        <v>0</v>
      </c>
      <c r="O24" s="499">
        <f t="shared" si="3"/>
        <v>0</v>
      </c>
      <c r="P24" s="435">
        <f t="shared" si="4"/>
        <v>0</v>
      </c>
      <c r="Q24" s="476"/>
      <c r="R24" s="775">
        <f t="shared" si="10"/>
        <v>17</v>
      </c>
      <c r="S24" s="775" t="str">
        <f t="shared" si="11"/>
        <v>keine</v>
      </c>
      <c r="T24" s="901"/>
      <c r="U24" s="900" t="s">
        <v>805</v>
      </c>
      <c r="V24" s="324">
        <v>0</v>
      </c>
      <c r="W24" s="751">
        <f>VLOOKUP(U24,Düngemittel!$B$6:$E$64,2,FALSE)*(VLOOKUP(U24,Düngemittel!$B$6:$E$64,3,FALSE))/100*V24</f>
        <v>0</v>
      </c>
      <c r="X24" s="687">
        <f>VLOOKUP(U24,Düngemittel!$B$6:$E$64,2,FALSE)*V24</f>
        <v>0</v>
      </c>
      <c r="Y24" s="687">
        <f>VLOOKUP(U24,Düngemittel!$B$6:$E$64,4,FALSE)*V24</f>
        <v>0</v>
      </c>
      <c r="Z24" s="666"/>
      <c r="AA24" s="899"/>
      <c r="AB24" s="900" t="s">
        <v>805</v>
      </c>
      <c r="AC24" s="978">
        <v>0</v>
      </c>
      <c r="AD24" s="751">
        <f>VLOOKUP(AB24,Düngemittel!$B$6:$E$64,2,FALSE)*(VLOOKUP(AB24,Düngemittel!$B$6:$E$64,3,FALSE))/100*AC24</f>
        <v>0</v>
      </c>
      <c r="AE24" s="687">
        <f>VLOOKUP(AB24,Düngemittel!$B$6:$E$64,2,FALSE)*AC24</f>
        <v>0</v>
      </c>
      <c r="AF24" s="687">
        <f>VLOOKUP(AB24,Düngemittel!$B$6:$E$64,4,FALSE)*AC24</f>
        <v>0</v>
      </c>
      <c r="AG24" s="666"/>
      <c r="AH24" s="899"/>
      <c r="AI24" s="900" t="s">
        <v>805</v>
      </c>
      <c r="AJ24" s="978">
        <v>0</v>
      </c>
      <c r="AK24" s="751">
        <f>VLOOKUP(AI24,Düngemittel!$B$6:$E$64,2,FALSE)*(VLOOKUP(AI24,Düngemittel!$B$6:$E$64,3,FALSE))/100*AJ24</f>
        <v>0</v>
      </c>
      <c r="AL24" s="687">
        <f>VLOOKUP(AI24,Düngemittel!$B$6:$E$64,2,FALSE)*AJ24</f>
        <v>0</v>
      </c>
      <c r="AM24" s="687">
        <f>VLOOKUP(AI24,Düngemittel!$B$6:$E$64,4,FALSE)*AJ24</f>
        <v>0</v>
      </c>
      <c r="AN24" s="666"/>
      <c r="AO24" s="666"/>
      <c r="AP24" s="853">
        <f t="shared" si="12"/>
        <v>0</v>
      </c>
      <c r="AQ24" s="308">
        <f t="shared" si="13"/>
        <v>0</v>
      </c>
      <c r="AR24" s="853">
        <f t="shared" si="14"/>
        <v>0</v>
      </c>
      <c r="AS24" s="777">
        <f t="shared" si="15"/>
        <v>0</v>
      </c>
      <c r="AT24" s="308">
        <f t="shared" si="16"/>
        <v>0</v>
      </c>
      <c r="AU24" s="785"/>
      <c r="AV24" s="853">
        <f t="shared" si="17"/>
        <v>0</v>
      </c>
      <c r="AW24" s="853">
        <f t="shared" si="18"/>
        <v>0</v>
      </c>
      <c r="AX24" s="853">
        <f t="shared" si="19"/>
        <v>0</v>
      </c>
      <c r="AY24" s="853">
        <f t="shared" si="20"/>
        <v>0</v>
      </c>
      <c r="AZ24" s="853">
        <f t="shared" si="21"/>
        <v>0</v>
      </c>
      <c r="BA24" s="16"/>
      <c r="BF24" s="739"/>
      <c r="BG24" s="741" t="s">
        <v>84</v>
      </c>
      <c r="BH24" s="737"/>
      <c r="BI24" s="739"/>
      <c r="BJ24" s="739"/>
      <c r="BK24" s="739"/>
    </row>
    <row r="25" spans="1:63" ht="23.25" customHeight="1" x14ac:dyDescent="0.25">
      <c r="A25" s="342">
        <v>18</v>
      </c>
      <c r="B25" s="1222">
        <v>0</v>
      </c>
      <c r="C25" s="997" t="s">
        <v>31</v>
      </c>
      <c r="D25" s="408">
        <f t="shared" si="0"/>
        <v>0</v>
      </c>
      <c r="E25" s="285">
        <f t="shared" si="1"/>
        <v>0</v>
      </c>
      <c r="F25" s="409">
        <f t="shared" si="6"/>
        <v>0</v>
      </c>
      <c r="G25" s="1218">
        <v>0</v>
      </c>
      <c r="H25" s="906">
        <v>0</v>
      </c>
      <c r="I25" s="897">
        <f t="shared" si="7"/>
        <v>0</v>
      </c>
      <c r="J25" s="433">
        <v>0</v>
      </c>
      <c r="K25" s="606">
        <f t="shared" si="8"/>
        <v>0</v>
      </c>
      <c r="L25" s="1220">
        <v>0</v>
      </c>
      <c r="M25" s="587">
        <f t="shared" si="9"/>
        <v>0</v>
      </c>
      <c r="N25" s="435">
        <f t="shared" si="2"/>
        <v>0</v>
      </c>
      <c r="O25" s="499">
        <f t="shared" si="3"/>
        <v>0</v>
      </c>
      <c r="P25" s="435">
        <f t="shared" si="4"/>
        <v>0</v>
      </c>
      <c r="R25" s="775">
        <f t="shared" si="10"/>
        <v>18</v>
      </c>
      <c r="S25" s="775" t="str">
        <f t="shared" si="11"/>
        <v>keine</v>
      </c>
      <c r="T25" s="901"/>
      <c r="U25" s="900" t="s">
        <v>805</v>
      </c>
      <c r="V25" s="324">
        <v>0</v>
      </c>
      <c r="W25" s="751">
        <f>VLOOKUP(U25,Düngemittel!$B$6:$E$64,2,FALSE)*(VLOOKUP(U25,Düngemittel!$B$6:$E$64,3,FALSE))/100*V25</f>
        <v>0</v>
      </c>
      <c r="X25" s="687">
        <f>VLOOKUP(U25,Düngemittel!$B$6:$E$64,2,FALSE)*V25</f>
        <v>0</v>
      </c>
      <c r="Y25" s="687">
        <f>VLOOKUP(U25,Düngemittel!$B$6:$E$64,4,FALSE)*V25</f>
        <v>0</v>
      </c>
      <c r="Z25" s="666"/>
      <c r="AA25" s="899"/>
      <c r="AB25" s="900" t="s">
        <v>805</v>
      </c>
      <c r="AC25" s="978">
        <v>0</v>
      </c>
      <c r="AD25" s="751">
        <f>VLOOKUP(AB25,Düngemittel!$B$6:$E$64,2,FALSE)*(VLOOKUP(AB25,Düngemittel!$B$6:$E$64,3,FALSE))/100*AC25</f>
        <v>0</v>
      </c>
      <c r="AE25" s="687">
        <f>VLOOKUP(AB25,Düngemittel!$B$6:$E$64,2,FALSE)*AC25</f>
        <v>0</v>
      </c>
      <c r="AF25" s="687">
        <f>VLOOKUP(AB25,Düngemittel!$B$6:$E$64,4,FALSE)*AC25</f>
        <v>0</v>
      </c>
      <c r="AG25" s="666"/>
      <c r="AH25" s="899"/>
      <c r="AI25" s="900" t="s">
        <v>805</v>
      </c>
      <c r="AJ25" s="978">
        <v>0</v>
      </c>
      <c r="AK25" s="751">
        <f>VLOOKUP(AI25,Düngemittel!$B$6:$E$64,2,FALSE)*(VLOOKUP(AI25,Düngemittel!$B$6:$E$64,3,FALSE))/100*AJ25</f>
        <v>0</v>
      </c>
      <c r="AL25" s="687">
        <f>VLOOKUP(AI25,Düngemittel!$B$6:$E$64,2,FALSE)*AJ25</f>
        <v>0</v>
      </c>
      <c r="AM25" s="687">
        <f>VLOOKUP(AI25,Düngemittel!$B$6:$E$64,4,FALSE)*AJ25</f>
        <v>0</v>
      </c>
      <c r="AN25" s="666"/>
      <c r="AO25" s="666"/>
      <c r="AP25" s="853">
        <f t="shared" si="12"/>
        <v>0</v>
      </c>
      <c r="AQ25" s="308">
        <f t="shared" si="13"/>
        <v>0</v>
      </c>
      <c r="AR25" s="853">
        <f t="shared" si="14"/>
        <v>0</v>
      </c>
      <c r="AS25" s="777">
        <f t="shared" si="15"/>
        <v>0</v>
      </c>
      <c r="AT25" s="308">
        <f t="shared" si="16"/>
        <v>0</v>
      </c>
      <c r="AU25" s="785"/>
      <c r="AV25" s="853">
        <f t="shared" si="17"/>
        <v>0</v>
      </c>
      <c r="AW25" s="853">
        <f t="shared" si="18"/>
        <v>0</v>
      </c>
      <c r="AX25" s="853">
        <f t="shared" si="19"/>
        <v>0</v>
      </c>
      <c r="AY25" s="853">
        <f t="shared" si="20"/>
        <v>0</v>
      </c>
      <c r="AZ25" s="853">
        <f t="shared" si="21"/>
        <v>0</v>
      </c>
      <c r="BA25" s="16"/>
      <c r="BB25" s="17"/>
      <c r="BF25" s="739"/>
      <c r="BG25" s="740" t="s">
        <v>90</v>
      </c>
      <c r="BH25" s="737">
        <v>0</v>
      </c>
      <c r="BI25" s="739"/>
      <c r="BJ25" s="739"/>
      <c r="BK25" s="739"/>
    </row>
    <row r="26" spans="1:63" ht="23.25" customHeight="1" x14ac:dyDescent="0.25">
      <c r="A26" s="342">
        <v>19</v>
      </c>
      <c r="B26" s="1222">
        <v>0</v>
      </c>
      <c r="C26" s="997" t="s">
        <v>31</v>
      </c>
      <c r="D26" s="408">
        <f t="shared" si="0"/>
        <v>0</v>
      </c>
      <c r="E26" s="285">
        <f t="shared" si="1"/>
        <v>0</v>
      </c>
      <c r="F26" s="409">
        <f t="shared" si="6"/>
        <v>0</v>
      </c>
      <c r="G26" s="1218">
        <v>0</v>
      </c>
      <c r="H26" s="906">
        <v>0</v>
      </c>
      <c r="I26" s="897">
        <f t="shared" si="7"/>
        <v>0</v>
      </c>
      <c r="J26" s="433">
        <v>0</v>
      </c>
      <c r="K26" s="606">
        <f t="shared" si="8"/>
        <v>0</v>
      </c>
      <c r="L26" s="1220">
        <v>0</v>
      </c>
      <c r="M26" s="587">
        <f t="shared" si="9"/>
        <v>0</v>
      </c>
      <c r="N26" s="435">
        <f t="shared" si="2"/>
        <v>0</v>
      </c>
      <c r="O26" s="499">
        <f t="shared" si="3"/>
        <v>0</v>
      </c>
      <c r="P26" s="435">
        <f t="shared" si="4"/>
        <v>0</v>
      </c>
      <c r="Q26" s="724"/>
      <c r="R26" s="775">
        <f t="shared" si="10"/>
        <v>19</v>
      </c>
      <c r="S26" s="775" t="str">
        <f t="shared" si="11"/>
        <v>keine</v>
      </c>
      <c r="T26" s="901"/>
      <c r="U26" s="900" t="s">
        <v>805</v>
      </c>
      <c r="V26" s="324">
        <v>0</v>
      </c>
      <c r="W26" s="751">
        <f>VLOOKUP(U26,Düngemittel!$B$6:$E$64,2,FALSE)*(VLOOKUP(U26,Düngemittel!$B$6:$E$64,3,FALSE))/100*V26</f>
        <v>0</v>
      </c>
      <c r="X26" s="687">
        <f>VLOOKUP(U26,Düngemittel!$B$6:$E$64,2,FALSE)*V26</f>
        <v>0</v>
      </c>
      <c r="Y26" s="687">
        <f>VLOOKUP(U26,Düngemittel!$B$6:$E$64,4,FALSE)*V26</f>
        <v>0</v>
      </c>
      <c r="Z26" s="666"/>
      <c r="AA26" s="899"/>
      <c r="AB26" s="900" t="s">
        <v>805</v>
      </c>
      <c r="AC26" s="978">
        <v>0</v>
      </c>
      <c r="AD26" s="751">
        <f>VLOOKUP(AB26,Düngemittel!$B$6:$E$64,2,FALSE)*(VLOOKUP(AB26,Düngemittel!$B$6:$E$64,3,FALSE))/100*AC26</f>
        <v>0</v>
      </c>
      <c r="AE26" s="687">
        <f>VLOOKUP(AB26,Düngemittel!$B$6:$E$64,2,FALSE)*AC26</f>
        <v>0</v>
      </c>
      <c r="AF26" s="687">
        <f>VLOOKUP(AB26,Düngemittel!$B$6:$E$64,4,FALSE)*AC26</f>
        <v>0</v>
      </c>
      <c r="AG26" s="666"/>
      <c r="AH26" s="899"/>
      <c r="AI26" s="900" t="s">
        <v>805</v>
      </c>
      <c r="AJ26" s="978">
        <v>0</v>
      </c>
      <c r="AK26" s="751">
        <f>VLOOKUP(AI26,Düngemittel!$B$6:$E$64,2,FALSE)*(VLOOKUP(AI26,Düngemittel!$B$6:$E$64,3,FALSE))/100*AJ26</f>
        <v>0</v>
      </c>
      <c r="AL26" s="687">
        <f>VLOOKUP(AI26,Düngemittel!$B$6:$E$64,2,FALSE)*AJ26</f>
        <v>0</v>
      </c>
      <c r="AM26" s="687">
        <f>VLOOKUP(AI26,Düngemittel!$B$6:$E$64,4,FALSE)*AJ26</f>
        <v>0</v>
      </c>
      <c r="AN26" s="666"/>
      <c r="AO26" s="666"/>
      <c r="AP26" s="853">
        <f t="shared" si="12"/>
        <v>0</v>
      </c>
      <c r="AQ26" s="308">
        <f t="shared" si="13"/>
        <v>0</v>
      </c>
      <c r="AR26" s="853">
        <f t="shared" si="14"/>
        <v>0</v>
      </c>
      <c r="AS26" s="777">
        <f t="shared" si="15"/>
        <v>0</v>
      </c>
      <c r="AT26" s="308">
        <f t="shared" si="16"/>
        <v>0</v>
      </c>
      <c r="AU26" s="785"/>
      <c r="AV26" s="853">
        <f t="shared" si="17"/>
        <v>0</v>
      </c>
      <c r="AW26" s="853">
        <f t="shared" si="18"/>
        <v>0</v>
      </c>
      <c r="AX26" s="853">
        <f t="shared" si="19"/>
        <v>0</v>
      </c>
      <c r="AY26" s="853">
        <f t="shared" si="20"/>
        <v>0</v>
      </c>
      <c r="AZ26" s="853">
        <f t="shared" si="21"/>
        <v>0</v>
      </c>
      <c r="BA26" s="16"/>
      <c r="BB26" s="17"/>
      <c r="BF26" s="739"/>
      <c r="BG26" s="740" t="s">
        <v>88</v>
      </c>
      <c r="BH26" s="737">
        <v>20</v>
      </c>
      <c r="BI26" s="739"/>
      <c r="BJ26" s="739"/>
      <c r="BK26" s="739"/>
    </row>
    <row r="27" spans="1:63" ht="23.25" customHeight="1" x14ac:dyDescent="0.25">
      <c r="A27" s="342">
        <v>20</v>
      </c>
      <c r="B27" s="1222">
        <v>0</v>
      </c>
      <c r="C27" s="997" t="s">
        <v>31</v>
      </c>
      <c r="D27" s="408">
        <f t="shared" si="0"/>
        <v>0</v>
      </c>
      <c r="E27" s="285">
        <f t="shared" si="1"/>
        <v>0</v>
      </c>
      <c r="F27" s="409">
        <f t="shared" si="6"/>
        <v>0</v>
      </c>
      <c r="G27" s="1218">
        <v>0</v>
      </c>
      <c r="H27" s="906">
        <v>0</v>
      </c>
      <c r="I27" s="897">
        <f t="shared" si="7"/>
        <v>0</v>
      </c>
      <c r="J27" s="433">
        <v>0</v>
      </c>
      <c r="K27" s="606">
        <f t="shared" si="8"/>
        <v>0</v>
      </c>
      <c r="L27" s="1220">
        <v>0</v>
      </c>
      <c r="M27" s="587">
        <f t="shared" si="9"/>
        <v>0</v>
      </c>
      <c r="N27" s="435">
        <f t="shared" si="2"/>
        <v>0</v>
      </c>
      <c r="O27" s="499">
        <f t="shared" si="3"/>
        <v>0</v>
      </c>
      <c r="P27" s="435">
        <f t="shared" si="4"/>
        <v>0</v>
      </c>
      <c r="Q27" s="519"/>
      <c r="R27" s="775">
        <f t="shared" si="10"/>
        <v>20</v>
      </c>
      <c r="S27" s="775" t="str">
        <f t="shared" si="11"/>
        <v>keine</v>
      </c>
      <c r="T27" s="901"/>
      <c r="U27" s="900" t="s">
        <v>805</v>
      </c>
      <c r="V27" s="324">
        <v>0</v>
      </c>
      <c r="W27" s="751">
        <f>VLOOKUP(U27,Düngemittel!$B$6:$E$64,2,FALSE)*(VLOOKUP(U27,Düngemittel!$B$6:$E$64,3,FALSE))/100*V27</f>
        <v>0</v>
      </c>
      <c r="X27" s="687">
        <f>VLOOKUP(U27,Düngemittel!$B$6:$E$64,2,FALSE)*V27</f>
        <v>0</v>
      </c>
      <c r="Y27" s="687">
        <f>VLOOKUP(U27,Düngemittel!$B$6:$E$64,4,FALSE)*V27</f>
        <v>0</v>
      </c>
      <c r="Z27" s="666"/>
      <c r="AA27" s="899"/>
      <c r="AB27" s="900" t="s">
        <v>805</v>
      </c>
      <c r="AC27" s="978">
        <v>0</v>
      </c>
      <c r="AD27" s="751">
        <f>VLOOKUP(AB27,Düngemittel!$B$6:$E$64,2,FALSE)*(VLOOKUP(AB27,Düngemittel!$B$6:$E$64,3,FALSE))/100*AC27</f>
        <v>0</v>
      </c>
      <c r="AE27" s="687">
        <f>VLOOKUP(AB27,Düngemittel!$B$6:$E$64,2,FALSE)*AC27</f>
        <v>0</v>
      </c>
      <c r="AF27" s="687">
        <f>VLOOKUP(AB27,Düngemittel!$B$6:$E$64,4,FALSE)*AC27</f>
        <v>0</v>
      </c>
      <c r="AG27" s="666"/>
      <c r="AH27" s="899"/>
      <c r="AI27" s="900" t="s">
        <v>805</v>
      </c>
      <c r="AJ27" s="978">
        <v>0</v>
      </c>
      <c r="AK27" s="751">
        <f>VLOOKUP(AI27,Düngemittel!$B$6:$E$64,2,FALSE)*(VLOOKUP(AI27,Düngemittel!$B$6:$E$64,3,FALSE))/100*AJ27</f>
        <v>0</v>
      </c>
      <c r="AL27" s="687">
        <f>VLOOKUP(AI27,Düngemittel!$B$6:$E$64,2,FALSE)*AJ27</f>
        <v>0</v>
      </c>
      <c r="AM27" s="687">
        <f>VLOOKUP(AI27,Düngemittel!$B$6:$E$64,4,FALSE)*AJ27</f>
        <v>0</v>
      </c>
      <c r="AN27" s="666"/>
      <c r="AO27" s="666"/>
      <c r="AP27" s="853">
        <f t="shared" si="12"/>
        <v>0</v>
      </c>
      <c r="AQ27" s="308">
        <f t="shared" si="13"/>
        <v>0</v>
      </c>
      <c r="AR27" s="853">
        <f t="shared" si="14"/>
        <v>0</v>
      </c>
      <c r="AS27" s="777">
        <f t="shared" si="15"/>
        <v>0</v>
      </c>
      <c r="AT27" s="308">
        <f t="shared" si="16"/>
        <v>0</v>
      </c>
      <c r="AU27" s="785"/>
      <c r="AV27" s="853">
        <f t="shared" si="17"/>
        <v>0</v>
      </c>
      <c r="AW27" s="853">
        <f t="shared" si="18"/>
        <v>0</v>
      </c>
      <c r="AX27" s="853">
        <f t="shared" si="19"/>
        <v>0</v>
      </c>
      <c r="AY27" s="853">
        <f t="shared" si="20"/>
        <v>0</v>
      </c>
      <c r="AZ27" s="853">
        <f t="shared" si="21"/>
        <v>0</v>
      </c>
      <c r="BA27" s="16"/>
      <c r="BF27" s="739"/>
      <c r="BG27" s="740" t="s">
        <v>89</v>
      </c>
      <c r="BH27" s="737">
        <v>40</v>
      </c>
      <c r="BI27" s="739"/>
      <c r="BJ27" s="739"/>
      <c r="BK27" s="739"/>
    </row>
    <row r="28" spans="1:63" ht="23.25" customHeight="1" x14ac:dyDescent="0.25">
      <c r="A28" s="342">
        <v>21</v>
      </c>
      <c r="B28" s="1222">
        <v>0</v>
      </c>
      <c r="C28" s="997" t="s">
        <v>31</v>
      </c>
      <c r="D28" s="408">
        <f t="shared" si="0"/>
        <v>0</v>
      </c>
      <c r="E28" s="285">
        <f t="shared" si="1"/>
        <v>0</v>
      </c>
      <c r="F28" s="409">
        <f t="shared" si="6"/>
        <v>0</v>
      </c>
      <c r="G28" s="1218">
        <v>0</v>
      </c>
      <c r="H28" s="906">
        <v>0</v>
      </c>
      <c r="I28" s="897">
        <f t="shared" si="7"/>
        <v>0</v>
      </c>
      <c r="J28" s="433">
        <v>0</v>
      </c>
      <c r="K28" s="606">
        <f t="shared" si="8"/>
        <v>0</v>
      </c>
      <c r="L28" s="1220">
        <v>0</v>
      </c>
      <c r="M28" s="587">
        <f t="shared" si="9"/>
        <v>0</v>
      </c>
      <c r="N28" s="435">
        <f t="shared" si="2"/>
        <v>0</v>
      </c>
      <c r="O28" s="499">
        <f t="shared" si="3"/>
        <v>0</v>
      </c>
      <c r="P28" s="435">
        <f t="shared" si="4"/>
        <v>0</v>
      </c>
      <c r="Q28" s="723"/>
      <c r="R28" s="775">
        <f t="shared" si="10"/>
        <v>21</v>
      </c>
      <c r="S28" s="775" t="str">
        <f t="shared" si="11"/>
        <v>keine</v>
      </c>
      <c r="T28" s="901"/>
      <c r="U28" s="900" t="s">
        <v>805</v>
      </c>
      <c r="V28" s="324">
        <v>0</v>
      </c>
      <c r="W28" s="751">
        <f>VLOOKUP(U28,Düngemittel!$B$6:$E$64,2,FALSE)*(VLOOKUP(U28,Düngemittel!$B$6:$E$64,3,FALSE))/100*V28</f>
        <v>0</v>
      </c>
      <c r="X28" s="687">
        <f>VLOOKUP(U28,Düngemittel!$B$6:$E$64,2,FALSE)*V28</f>
        <v>0</v>
      </c>
      <c r="Y28" s="687">
        <f>VLOOKUP(U28,Düngemittel!$B$6:$E$64,4,FALSE)*V28</f>
        <v>0</v>
      </c>
      <c r="Z28" s="666"/>
      <c r="AA28" s="899"/>
      <c r="AB28" s="900" t="s">
        <v>805</v>
      </c>
      <c r="AC28" s="978">
        <v>0</v>
      </c>
      <c r="AD28" s="751">
        <f>VLOOKUP(AB28,Düngemittel!$B$6:$E$64,2,FALSE)*(VLOOKUP(AB28,Düngemittel!$B$6:$E$64,3,FALSE))/100*AC28</f>
        <v>0</v>
      </c>
      <c r="AE28" s="687">
        <f>VLOOKUP(AB28,Düngemittel!$B$6:$E$64,2,FALSE)*AC28</f>
        <v>0</v>
      </c>
      <c r="AF28" s="687">
        <f>VLOOKUP(AB28,Düngemittel!$B$6:$E$64,4,FALSE)*AC28</f>
        <v>0</v>
      </c>
      <c r="AG28" s="666"/>
      <c r="AH28" s="899"/>
      <c r="AI28" s="900" t="s">
        <v>805</v>
      </c>
      <c r="AJ28" s="978">
        <v>0</v>
      </c>
      <c r="AK28" s="751">
        <f>VLOOKUP(AI28,Düngemittel!$B$6:$E$64,2,FALSE)*(VLOOKUP(AI28,Düngemittel!$B$6:$E$64,3,FALSE))/100*AJ28</f>
        <v>0</v>
      </c>
      <c r="AL28" s="687">
        <f>VLOOKUP(AI28,Düngemittel!$B$6:$E$64,2,FALSE)*AJ28</f>
        <v>0</v>
      </c>
      <c r="AM28" s="687">
        <f>VLOOKUP(AI28,Düngemittel!$B$6:$E$64,4,FALSE)*AJ28</f>
        <v>0</v>
      </c>
      <c r="AN28" s="666"/>
      <c r="AO28" s="666"/>
      <c r="AP28" s="853">
        <f t="shared" si="12"/>
        <v>0</v>
      </c>
      <c r="AQ28" s="308">
        <f t="shared" si="13"/>
        <v>0</v>
      </c>
      <c r="AR28" s="853">
        <f t="shared" si="14"/>
        <v>0</v>
      </c>
      <c r="AS28" s="777">
        <f t="shared" si="15"/>
        <v>0</v>
      </c>
      <c r="AT28" s="308">
        <f t="shared" si="16"/>
        <v>0</v>
      </c>
      <c r="AU28" s="785"/>
      <c r="AV28" s="853">
        <f t="shared" si="17"/>
        <v>0</v>
      </c>
      <c r="AW28" s="853">
        <f t="shared" si="18"/>
        <v>0</v>
      </c>
      <c r="AX28" s="853">
        <f t="shared" si="19"/>
        <v>0</v>
      </c>
      <c r="AY28" s="853">
        <f t="shared" si="20"/>
        <v>0</v>
      </c>
      <c r="AZ28" s="853">
        <f t="shared" si="21"/>
        <v>0</v>
      </c>
      <c r="BA28" s="16"/>
      <c r="BB28" s="17"/>
      <c r="BC28" s="400"/>
      <c r="BD28" s="400"/>
      <c r="BE28" s="400"/>
      <c r="BF28" s="739"/>
      <c r="BG28" s="740" t="s">
        <v>233</v>
      </c>
      <c r="BH28" s="737">
        <v>60</v>
      </c>
      <c r="BI28" s="739"/>
      <c r="BJ28" s="739"/>
      <c r="BK28" s="739"/>
    </row>
    <row r="29" spans="1:63" ht="24" customHeight="1" x14ac:dyDescent="0.25">
      <c r="A29" s="342">
        <v>22</v>
      </c>
      <c r="B29" s="1222">
        <v>0</v>
      </c>
      <c r="C29" s="997" t="s">
        <v>31</v>
      </c>
      <c r="D29" s="408">
        <f t="shared" si="0"/>
        <v>0</v>
      </c>
      <c r="E29" s="285">
        <f t="shared" si="1"/>
        <v>0</v>
      </c>
      <c r="F29" s="409">
        <f t="shared" si="6"/>
        <v>0</v>
      </c>
      <c r="G29" s="1218">
        <v>0</v>
      </c>
      <c r="H29" s="906">
        <v>0</v>
      </c>
      <c r="I29" s="897">
        <f t="shared" si="7"/>
        <v>0</v>
      </c>
      <c r="J29" s="433">
        <v>0</v>
      </c>
      <c r="K29" s="606">
        <f t="shared" si="8"/>
        <v>0</v>
      </c>
      <c r="L29" s="1220">
        <v>0</v>
      </c>
      <c r="M29" s="587">
        <f t="shared" si="9"/>
        <v>0</v>
      </c>
      <c r="N29" s="435">
        <f t="shared" si="2"/>
        <v>0</v>
      </c>
      <c r="O29" s="499">
        <f t="shared" si="3"/>
        <v>0</v>
      </c>
      <c r="P29" s="435">
        <f t="shared" si="4"/>
        <v>0</v>
      </c>
      <c r="Q29" s="16"/>
      <c r="R29" s="775">
        <f t="shared" si="10"/>
        <v>22</v>
      </c>
      <c r="S29" s="775" t="str">
        <f t="shared" si="11"/>
        <v>keine</v>
      </c>
      <c r="T29" s="901"/>
      <c r="U29" s="900" t="s">
        <v>805</v>
      </c>
      <c r="V29" s="324">
        <v>0</v>
      </c>
      <c r="W29" s="751">
        <f>VLOOKUP(U29,Düngemittel!$B$6:$E$64,2,FALSE)*(VLOOKUP(U29,Düngemittel!$B$6:$E$64,3,FALSE))/100*V29</f>
        <v>0</v>
      </c>
      <c r="X29" s="687">
        <f>VLOOKUP(U29,Düngemittel!$B$6:$E$64,2,FALSE)*V29</f>
        <v>0</v>
      </c>
      <c r="Y29" s="687">
        <f>VLOOKUP(U29,Düngemittel!$B$6:$E$64,4,FALSE)*V29</f>
        <v>0</v>
      </c>
      <c r="Z29" s="666"/>
      <c r="AA29" s="899"/>
      <c r="AB29" s="900" t="s">
        <v>805</v>
      </c>
      <c r="AC29" s="978">
        <v>0</v>
      </c>
      <c r="AD29" s="751">
        <f>VLOOKUP(AB29,Düngemittel!$B$6:$E$64,2,FALSE)*(VLOOKUP(AB29,Düngemittel!$B$6:$E$64,3,FALSE))/100*AC29</f>
        <v>0</v>
      </c>
      <c r="AE29" s="687">
        <f>VLOOKUP(AB29,Düngemittel!$B$6:$E$64,2,FALSE)*AC29</f>
        <v>0</v>
      </c>
      <c r="AF29" s="687">
        <f>VLOOKUP(AB29,Düngemittel!$B$6:$E$64,4,FALSE)*AC29</f>
        <v>0</v>
      </c>
      <c r="AG29" s="666"/>
      <c r="AH29" s="899"/>
      <c r="AI29" s="900" t="s">
        <v>805</v>
      </c>
      <c r="AJ29" s="978">
        <v>0</v>
      </c>
      <c r="AK29" s="751">
        <f>VLOOKUP(AI29,Düngemittel!$B$6:$E$64,2,FALSE)*(VLOOKUP(AI29,Düngemittel!$B$6:$E$64,3,FALSE))/100*AJ29</f>
        <v>0</v>
      </c>
      <c r="AL29" s="687">
        <f>VLOOKUP(AI29,Düngemittel!$B$6:$E$64,2,FALSE)*AJ29</f>
        <v>0</v>
      </c>
      <c r="AM29" s="687">
        <f>VLOOKUP(AI29,Düngemittel!$B$6:$E$64,4,FALSE)*AJ29</f>
        <v>0</v>
      </c>
      <c r="AN29" s="666"/>
      <c r="AO29" s="666"/>
      <c r="AP29" s="853">
        <f t="shared" si="12"/>
        <v>0</v>
      </c>
      <c r="AQ29" s="308">
        <f t="shared" si="13"/>
        <v>0</v>
      </c>
      <c r="AR29" s="853">
        <f t="shared" si="14"/>
        <v>0</v>
      </c>
      <c r="AS29" s="777">
        <f t="shared" si="15"/>
        <v>0</v>
      </c>
      <c r="AT29" s="308">
        <f t="shared" si="16"/>
        <v>0</v>
      </c>
      <c r="AU29" s="785"/>
      <c r="AV29" s="853">
        <f t="shared" si="17"/>
        <v>0</v>
      </c>
      <c r="AW29" s="853">
        <f t="shared" si="18"/>
        <v>0</v>
      </c>
      <c r="AX29" s="853">
        <f t="shared" si="19"/>
        <v>0</v>
      </c>
      <c r="AY29" s="853">
        <f t="shared" si="20"/>
        <v>0</v>
      </c>
      <c r="AZ29" s="853">
        <f t="shared" si="21"/>
        <v>0</v>
      </c>
      <c r="BA29" s="16"/>
      <c r="BB29" s="17"/>
      <c r="BD29" s="400"/>
      <c r="BE29" s="400"/>
      <c r="BF29" s="352"/>
    </row>
    <row r="30" spans="1:63" ht="24" customHeight="1" x14ac:dyDescent="0.25">
      <c r="A30" s="342">
        <v>23</v>
      </c>
      <c r="B30" s="1222">
        <v>0</v>
      </c>
      <c r="C30" s="997" t="s">
        <v>31</v>
      </c>
      <c r="D30" s="408">
        <f t="shared" si="0"/>
        <v>0</v>
      </c>
      <c r="E30" s="285">
        <f t="shared" si="1"/>
        <v>0</v>
      </c>
      <c r="F30" s="409">
        <f t="shared" si="6"/>
        <v>0</v>
      </c>
      <c r="G30" s="1218">
        <v>0</v>
      </c>
      <c r="H30" s="906">
        <v>0</v>
      </c>
      <c r="I30" s="897">
        <f t="shared" si="7"/>
        <v>0</v>
      </c>
      <c r="J30" s="433">
        <v>0</v>
      </c>
      <c r="K30" s="606">
        <f t="shared" si="8"/>
        <v>0</v>
      </c>
      <c r="L30" s="1220">
        <v>0</v>
      </c>
      <c r="M30" s="587">
        <f t="shared" si="9"/>
        <v>0</v>
      </c>
      <c r="N30" s="435">
        <f t="shared" si="2"/>
        <v>0</v>
      </c>
      <c r="O30" s="499">
        <f t="shared" si="3"/>
        <v>0</v>
      </c>
      <c r="P30" s="435">
        <f t="shared" si="4"/>
        <v>0</v>
      </c>
      <c r="Q30" s="16"/>
      <c r="R30" s="775">
        <f t="shared" si="10"/>
        <v>23</v>
      </c>
      <c r="S30" s="775" t="str">
        <f t="shared" si="11"/>
        <v>keine</v>
      </c>
      <c r="T30" s="901"/>
      <c r="U30" s="900" t="s">
        <v>805</v>
      </c>
      <c r="V30" s="324">
        <v>0</v>
      </c>
      <c r="W30" s="751">
        <f>VLOOKUP(U30,Düngemittel!$B$6:$E$64,2,FALSE)*(VLOOKUP(U30,Düngemittel!$B$6:$E$64,3,FALSE))/100*V30</f>
        <v>0</v>
      </c>
      <c r="X30" s="687">
        <f>VLOOKUP(U30,Düngemittel!$B$6:$E$64,2,FALSE)*V30</f>
        <v>0</v>
      </c>
      <c r="Y30" s="687">
        <f>VLOOKUP(U30,Düngemittel!$B$6:$E$64,4,FALSE)*V30</f>
        <v>0</v>
      </c>
      <c r="Z30" s="666"/>
      <c r="AA30" s="899"/>
      <c r="AB30" s="900" t="s">
        <v>805</v>
      </c>
      <c r="AC30" s="978">
        <v>0</v>
      </c>
      <c r="AD30" s="751">
        <f>VLOOKUP(AB30,Düngemittel!$B$6:$E$64,2,FALSE)*(VLOOKUP(AB30,Düngemittel!$B$6:$E$64,3,FALSE))/100*AC30</f>
        <v>0</v>
      </c>
      <c r="AE30" s="687">
        <f>VLOOKUP(AB30,Düngemittel!$B$6:$E$64,2,FALSE)*AC30</f>
        <v>0</v>
      </c>
      <c r="AF30" s="687">
        <f>VLOOKUP(AB30,Düngemittel!$B$6:$E$64,4,FALSE)*AC30</f>
        <v>0</v>
      </c>
      <c r="AG30" s="666"/>
      <c r="AH30" s="899"/>
      <c r="AI30" s="900" t="s">
        <v>805</v>
      </c>
      <c r="AJ30" s="978">
        <v>0</v>
      </c>
      <c r="AK30" s="751">
        <f>VLOOKUP(AI30,Düngemittel!$B$6:$E$64,2,FALSE)*(VLOOKUP(AI30,Düngemittel!$B$6:$E$64,3,FALSE))/100*AJ30</f>
        <v>0</v>
      </c>
      <c r="AL30" s="687">
        <f>VLOOKUP(AI30,Düngemittel!$B$6:$E$64,2,FALSE)*AJ30</f>
        <v>0</v>
      </c>
      <c r="AM30" s="687">
        <f>VLOOKUP(AI30,Düngemittel!$B$6:$E$64,4,FALSE)*AJ30</f>
        <v>0</v>
      </c>
      <c r="AN30" s="666"/>
      <c r="AO30" s="666"/>
      <c r="AP30" s="853">
        <f t="shared" si="12"/>
        <v>0</v>
      </c>
      <c r="AQ30" s="308">
        <f t="shared" si="13"/>
        <v>0</v>
      </c>
      <c r="AR30" s="853">
        <f t="shared" si="14"/>
        <v>0</v>
      </c>
      <c r="AS30" s="777">
        <f t="shared" si="15"/>
        <v>0</v>
      </c>
      <c r="AT30" s="308">
        <f t="shared" si="16"/>
        <v>0</v>
      </c>
      <c r="AU30" s="785"/>
      <c r="AV30" s="853">
        <f t="shared" si="17"/>
        <v>0</v>
      </c>
      <c r="AW30" s="853">
        <f t="shared" si="18"/>
        <v>0</v>
      </c>
      <c r="AX30" s="853">
        <f t="shared" si="19"/>
        <v>0</v>
      </c>
      <c r="AY30" s="853">
        <f t="shared" si="20"/>
        <v>0</v>
      </c>
      <c r="AZ30" s="853">
        <f t="shared" si="21"/>
        <v>0</v>
      </c>
      <c r="BA30" s="16"/>
      <c r="BB30" s="148"/>
      <c r="BD30" s="400"/>
    </row>
    <row r="31" spans="1:63" ht="24" customHeight="1" thickBot="1" x14ac:dyDescent="0.3">
      <c r="A31" s="342">
        <v>24</v>
      </c>
      <c r="B31" s="1222">
        <v>0</v>
      </c>
      <c r="C31" s="997" t="s">
        <v>31</v>
      </c>
      <c r="D31" s="410">
        <f t="shared" si="0"/>
        <v>0</v>
      </c>
      <c r="E31" s="998">
        <f t="shared" si="1"/>
        <v>0</v>
      </c>
      <c r="F31" s="952">
        <f t="shared" si="6"/>
        <v>0</v>
      </c>
      <c r="G31" s="1218">
        <v>0</v>
      </c>
      <c r="H31" s="906">
        <v>0</v>
      </c>
      <c r="I31" s="897">
        <f t="shared" si="7"/>
        <v>0</v>
      </c>
      <c r="J31" s="433">
        <v>0</v>
      </c>
      <c r="K31" s="606">
        <f t="shared" si="8"/>
        <v>0</v>
      </c>
      <c r="L31" s="1220">
        <v>0</v>
      </c>
      <c r="M31" s="989">
        <f t="shared" si="9"/>
        <v>0</v>
      </c>
      <c r="N31" s="435">
        <f t="shared" si="2"/>
        <v>0</v>
      </c>
      <c r="O31" s="499">
        <f t="shared" si="3"/>
        <v>0</v>
      </c>
      <c r="P31" s="435">
        <f t="shared" si="4"/>
        <v>0</v>
      </c>
      <c r="Q31" s="16"/>
      <c r="R31" s="775">
        <f t="shared" si="10"/>
        <v>24</v>
      </c>
      <c r="S31" s="775" t="str">
        <f t="shared" si="11"/>
        <v>keine</v>
      </c>
      <c r="T31" s="886"/>
      <c r="U31" s="887" t="s">
        <v>805</v>
      </c>
      <c r="V31" s="906">
        <v>0</v>
      </c>
      <c r="W31" s="751">
        <f>VLOOKUP(U31,Düngemittel!$B$6:$E$64,2,FALSE)*(VLOOKUP(U31,Düngemittel!$B$6:$E$64,3,FALSE))/100*V31</f>
        <v>0</v>
      </c>
      <c r="X31" s="687">
        <f>VLOOKUP(U31,Düngemittel!$B$6:$E$64,2,FALSE)*V31</f>
        <v>0</v>
      </c>
      <c r="Y31" s="687">
        <f>VLOOKUP(U31,Düngemittel!$B$6:$E$64,4,FALSE)*V31</f>
        <v>0</v>
      </c>
      <c r="Z31" s="666"/>
      <c r="AA31" s="899"/>
      <c r="AB31" s="900" t="s">
        <v>805</v>
      </c>
      <c r="AC31" s="978">
        <v>0</v>
      </c>
      <c r="AD31" s="751">
        <f>VLOOKUP(AB31,Düngemittel!$B$6:$E$64,2,FALSE)*(VLOOKUP(AB31,Düngemittel!$B$6:$E$64,3,FALSE))/100*AC31</f>
        <v>0</v>
      </c>
      <c r="AE31" s="687">
        <f>VLOOKUP(AB31,Düngemittel!$B$6:$E$64,2,FALSE)*AC31</f>
        <v>0</v>
      </c>
      <c r="AF31" s="687">
        <f>VLOOKUP(AB31,Düngemittel!$B$6:$E$64,4,FALSE)*AC31</f>
        <v>0</v>
      </c>
      <c r="AG31" s="666"/>
      <c r="AH31" s="899"/>
      <c r="AI31" s="900" t="s">
        <v>805</v>
      </c>
      <c r="AJ31" s="978">
        <v>0</v>
      </c>
      <c r="AK31" s="751">
        <f>VLOOKUP(AI31,Düngemittel!$B$6:$E$64,2,FALSE)*(VLOOKUP(AI31,Düngemittel!$B$6:$E$64,3,FALSE))/100*AJ31</f>
        <v>0</v>
      </c>
      <c r="AL31" s="687">
        <f>VLOOKUP(AI31,Düngemittel!$B$6:$E$64,2,FALSE)*AJ31</f>
        <v>0</v>
      </c>
      <c r="AM31" s="687">
        <f>VLOOKUP(AI31,Düngemittel!$B$6:$E$64,4,FALSE)*AJ31</f>
        <v>0</v>
      </c>
      <c r="AN31" s="666"/>
      <c r="AO31" s="666"/>
      <c r="AP31" s="853">
        <f t="shared" si="12"/>
        <v>0</v>
      </c>
      <c r="AQ31" s="308">
        <f t="shared" si="13"/>
        <v>0</v>
      </c>
      <c r="AR31" s="853">
        <f t="shared" si="14"/>
        <v>0</v>
      </c>
      <c r="AS31" s="777">
        <f t="shared" si="15"/>
        <v>0</v>
      </c>
      <c r="AT31" s="308">
        <f t="shared" si="16"/>
        <v>0</v>
      </c>
      <c r="AU31" s="785"/>
      <c r="AV31" s="853">
        <f t="shared" si="17"/>
        <v>0</v>
      </c>
      <c r="AW31" s="853">
        <f t="shared" si="18"/>
        <v>0</v>
      </c>
      <c r="AX31" s="853">
        <f t="shared" si="19"/>
        <v>0</v>
      </c>
      <c r="AY31" s="853">
        <f t="shared" si="20"/>
        <v>0</v>
      </c>
      <c r="AZ31" s="853">
        <f t="shared" si="21"/>
        <v>0</v>
      </c>
      <c r="BA31" s="16"/>
      <c r="BB31" s="148"/>
      <c r="BD31" s="732"/>
    </row>
    <row r="32" spans="1:63" ht="23.25" customHeight="1" thickBot="1" x14ac:dyDescent="0.3">
      <c r="A32" s="410" t="s">
        <v>292</v>
      </c>
      <c r="B32" s="772">
        <f>SUM(B8:B31)</f>
        <v>0</v>
      </c>
      <c r="C32" s="815" t="s">
        <v>1190</v>
      </c>
      <c r="D32" s="993"/>
      <c r="E32" s="795"/>
      <c r="F32" s="371"/>
      <c r="G32" s="375"/>
      <c r="H32" s="375"/>
      <c r="I32" s="375"/>
      <c r="J32" s="375"/>
      <c r="K32" s="375"/>
      <c r="L32" s="375"/>
      <c r="M32" s="988" t="s">
        <v>1197</v>
      </c>
      <c r="N32" s="380">
        <f>SUM(N8:N31)</f>
        <v>0</v>
      </c>
      <c r="O32" s="496"/>
      <c r="P32" s="380">
        <f>SUM(P8:P31)</f>
        <v>0</v>
      </c>
      <c r="Q32" s="47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24"/>
      <c r="AQ32" s="60"/>
      <c r="AR32" s="60"/>
      <c r="AS32" s="224"/>
      <c r="AT32" s="60"/>
      <c r="AU32" s="272"/>
      <c r="AV32" s="308">
        <f>SUM(AV5:AV31)</f>
        <v>0</v>
      </c>
      <c r="AW32" s="308">
        <f>SUM(AW5:AW31)</f>
        <v>0</v>
      </c>
      <c r="AX32" s="308">
        <f>SUM(AX5:AX31)</f>
        <v>0</v>
      </c>
      <c r="AY32" s="308">
        <f>SUM(AY5:AY31)</f>
        <v>0</v>
      </c>
      <c r="AZ32" s="308">
        <f>SUM(AZ5:AZ31)</f>
        <v>0</v>
      </c>
      <c r="BA32" s="782" t="s">
        <v>1097</v>
      </c>
      <c r="BE32" s="125"/>
    </row>
    <row r="33" spans="1:57" ht="24" customHeight="1" x14ac:dyDescent="0.25">
      <c r="A33" s="746"/>
      <c r="B33" s="773"/>
      <c r="D33" s="80"/>
      <c r="E33" s="112"/>
      <c r="M33" s="42"/>
      <c r="N33" s="1310" t="s">
        <v>1118</v>
      </c>
      <c r="P33" s="1310" t="s">
        <v>1119</v>
      </c>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462" t="e">
        <f>AV33</f>
        <v>#DIV/0!</v>
      </c>
      <c r="AQ33" s="462" t="e">
        <f t="shared" ref="AQ33:AT33" si="22">AW33</f>
        <v>#DIV/0!</v>
      </c>
      <c r="AR33" s="462" t="e">
        <f t="shared" si="22"/>
        <v>#DIV/0!</v>
      </c>
      <c r="AS33" s="777" t="e">
        <f t="shared" si="22"/>
        <v>#DIV/0!</v>
      </c>
      <c r="AT33" s="462" t="e">
        <f t="shared" si="22"/>
        <v>#DIV/0!</v>
      </c>
      <c r="AU33" s="272"/>
      <c r="AV33" s="972" t="e">
        <f>AV32/$B32</f>
        <v>#DIV/0!</v>
      </c>
      <c r="AW33" s="462" t="e">
        <f t="shared" ref="AW33:AZ33" si="23">AW32/$B32</f>
        <v>#DIV/0!</v>
      </c>
      <c r="AX33" s="972" t="e">
        <f t="shared" si="23"/>
        <v>#DIV/0!</v>
      </c>
      <c r="AY33" s="777" t="e">
        <f t="shared" si="23"/>
        <v>#DIV/0!</v>
      </c>
      <c r="AZ33" s="462" t="e">
        <f t="shared" si="23"/>
        <v>#DIV/0!</v>
      </c>
      <c r="BA33" s="782" t="s">
        <v>1076</v>
      </c>
      <c r="BE33" s="125"/>
    </row>
    <row r="34" spans="1:57" ht="54" customHeight="1" thickBot="1" x14ac:dyDescent="0.3">
      <c r="A34" s="519"/>
      <c r="B34" s="805"/>
      <c r="D34" s="80"/>
      <c r="E34" s="112"/>
      <c r="M34" s="272"/>
      <c r="N34" s="1311"/>
      <c r="P34" s="1311"/>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775" t="s">
        <v>1096</v>
      </c>
      <c r="AQ34" s="312" t="s">
        <v>1082</v>
      </c>
      <c r="AR34" s="312" t="s">
        <v>1083</v>
      </c>
      <c r="AS34" s="699" t="s">
        <v>1268</v>
      </c>
      <c r="AT34" s="312" t="s">
        <v>290</v>
      </c>
      <c r="AU34" s="519"/>
      <c r="AV34" s="973" t="s">
        <v>1096</v>
      </c>
      <c r="AW34" s="312" t="s">
        <v>1082</v>
      </c>
      <c r="AX34" s="781" t="s">
        <v>1098</v>
      </c>
      <c r="AY34" s="699" t="s">
        <v>1268</v>
      </c>
      <c r="AZ34" s="312" t="s">
        <v>290</v>
      </c>
      <c r="BE34" s="125"/>
    </row>
    <row r="35" spans="1:57" ht="24" customHeight="1" x14ac:dyDescent="0.25">
      <c r="B35" s="112"/>
      <c r="D35" s="80"/>
      <c r="E35" s="112"/>
      <c r="J35" s="151"/>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722"/>
      <c r="AV35" s="722"/>
      <c r="AW35" s="83"/>
      <c r="AX35" s="83"/>
      <c r="AY35" s="83"/>
      <c r="AZ35" s="83"/>
      <c r="BE35" s="125"/>
    </row>
    <row r="36" spans="1:57" ht="24.75" customHeight="1" x14ac:dyDescent="0.25">
      <c r="A36" s="1384" t="s">
        <v>1084</v>
      </c>
      <c r="B36" s="1385"/>
      <c r="C36" s="1387" t="s">
        <v>1088</v>
      </c>
      <c r="D36" s="1388"/>
      <c r="E36" s="1388"/>
      <c r="F36" s="1388"/>
      <c r="G36" s="1388"/>
      <c r="H36" s="1388"/>
      <c r="I36" s="1388"/>
      <c r="J36" s="1388"/>
      <c r="K36" s="1388"/>
      <c r="L36" s="1379"/>
      <c r="M36" s="1379"/>
      <c r="N36" s="1379"/>
      <c r="O36" s="1331"/>
      <c r="P36" s="1332"/>
      <c r="Q36" s="47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357"/>
      <c r="BE36" s="130"/>
    </row>
    <row r="37" spans="1:57" ht="32.25" customHeight="1" x14ac:dyDescent="0.25">
      <c r="A37" s="1385"/>
      <c r="B37" s="1385"/>
      <c r="C37" s="1389"/>
      <c r="D37" s="1390"/>
      <c r="E37" s="1390"/>
      <c r="F37" s="1390"/>
      <c r="G37" s="1390"/>
      <c r="H37" s="1390"/>
      <c r="I37" s="1390"/>
      <c r="J37" s="1390"/>
      <c r="K37" s="1390"/>
      <c r="L37" s="1293"/>
      <c r="M37" s="1293"/>
      <c r="N37" s="1293"/>
      <c r="O37" s="1336"/>
      <c r="P37" s="1337"/>
      <c r="Q37" s="476"/>
      <c r="R37" s="476"/>
      <c r="S37" s="476"/>
      <c r="T37" s="476"/>
      <c r="U37" s="476"/>
      <c r="V37" s="476"/>
      <c r="W37" s="476"/>
      <c r="X37" s="476"/>
      <c r="Y37" s="476"/>
      <c r="Z37" s="476"/>
      <c r="AA37" s="476"/>
      <c r="AB37" s="476"/>
      <c r="AC37" s="476"/>
      <c r="AD37" s="476"/>
      <c r="AE37" s="476"/>
      <c r="AF37" s="476"/>
      <c r="AG37" s="476"/>
      <c r="AH37" s="476"/>
      <c r="AI37" s="476"/>
      <c r="AJ37" s="476"/>
      <c r="AK37" s="476"/>
      <c r="AL37" s="476"/>
      <c r="AM37" s="476"/>
      <c r="AN37" s="476"/>
      <c r="AO37" s="476"/>
      <c r="AP37" s="476"/>
      <c r="AQ37" s="476"/>
      <c r="AR37" s="476"/>
      <c r="AS37" s="476"/>
      <c r="AT37" s="476"/>
      <c r="AU37" s="476"/>
      <c r="AV37" s="476"/>
      <c r="AW37" s="476"/>
      <c r="AX37" s="476"/>
      <c r="AY37" s="476"/>
      <c r="AZ37" s="476"/>
      <c r="BB37" s="17"/>
      <c r="BE37" s="130"/>
    </row>
    <row r="38" spans="1:57" ht="30.75" customHeight="1" x14ac:dyDescent="0.25">
      <c r="A38" s="1386"/>
      <c r="B38" s="1386"/>
      <c r="C38" s="1391"/>
      <c r="D38" s="1341"/>
      <c r="E38" s="1341"/>
      <c r="F38" s="1341"/>
      <c r="G38" s="1341"/>
      <c r="H38" s="1341"/>
      <c r="I38" s="1341"/>
      <c r="J38" s="1341"/>
      <c r="K38" s="1341"/>
      <c r="L38" s="1341"/>
      <c r="M38" s="1341"/>
      <c r="N38" s="1341"/>
      <c r="O38" s="1341"/>
      <c r="P38" s="1342"/>
      <c r="Q38" s="476"/>
      <c r="BB38" s="356"/>
      <c r="BC38" s="400"/>
    </row>
    <row r="39" spans="1:57" ht="30.75" customHeight="1" x14ac:dyDescent="0.25">
      <c r="B39" s="112"/>
      <c r="D39" s="80"/>
      <c r="E39" s="112"/>
      <c r="J39" s="151"/>
      <c r="Q39" s="726"/>
      <c r="R39" s="725"/>
      <c r="S39" s="725"/>
      <c r="T39" s="725"/>
      <c r="U39" s="725"/>
      <c r="V39" s="725"/>
      <c r="W39" s="725"/>
      <c r="X39" s="725"/>
      <c r="Y39" s="725"/>
      <c r="Z39" s="725"/>
      <c r="AA39" s="725"/>
      <c r="AB39" s="725"/>
      <c r="AC39" s="725"/>
      <c r="AD39" s="725"/>
      <c r="AE39" s="725"/>
      <c r="AF39" s="725"/>
      <c r="AG39" s="725"/>
      <c r="AH39" s="725"/>
      <c r="AI39" s="725"/>
      <c r="AJ39" s="725"/>
      <c r="AK39" s="725"/>
      <c r="AL39" s="725"/>
      <c r="AM39" s="725"/>
      <c r="AN39" s="725"/>
      <c r="AO39" s="725"/>
      <c r="AP39" s="725"/>
      <c r="AQ39" s="725"/>
      <c r="AR39" s="725"/>
      <c r="AS39" s="725"/>
      <c r="AT39" s="725"/>
      <c r="AU39" s="725"/>
      <c r="AV39" s="725"/>
      <c r="AW39" s="725"/>
      <c r="AX39" s="725"/>
      <c r="AY39" s="725"/>
      <c r="AZ39" s="725"/>
      <c r="BB39" s="400"/>
      <c r="BC39" s="400"/>
    </row>
    <row r="40" spans="1:57" ht="19.5" customHeight="1" x14ac:dyDescent="0.25">
      <c r="A40" s="1320" t="s">
        <v>617</v>
      </c>
      <c r="B40" s="1321"/>
      <c r="C40" s="1347" t="s">
        <v>1089</v>
      </c>
      <c r="D40" s="1281"/>
      <c r="E40" s="1281"/>
      <c r="F40" s="1281"/>
      <c r="G40" s="1281"/>
      <c r="H40" s="1281"/>
      <c r="I40" s="1281"/>
      <c r="J40" s="1281"/>
      <c r="K40" s="1281"/>
      <c r="L40" s="1281"/>
      <c r="M40" s="1281"/>
      <c r="N40" s="1281"/>
      <c r="O40" s="1348"/>
      <c r="P40" s="1348"/>
      <c r="Q40" s="357"/>
      <c r="R40" s="476"/>
      <c r="S40" s="476"/>
      <c r="T40" s="476"/>
      <c r="U40" s="476"/>
      <c r="V40" s="476"/>
      <c r="W40" s="476"/>
      <c r="X40" s="476"/>
      <c r="Y40" s="476"/>
      <c r="Z40" s="476"/>
      <c r="AA40" s="476"/>
      <c r="AB40" s="476"/>
      <c r="AC40" s="476"/>
      <c r="AD40" s="476"/>
      <c r="AE40" s="476"/>
      <c r="AF40" s="476"/>
      <c r="AG40" s="476"/>
      <c r="AH40" s="476"/>
      <c r="AI40" s="476"/>
      <c r="AJ40" s="476"/>
      <c r="AK40" s="476"/>
      <c r="AL40" s="476"/>
      <c r="AM40" s="476"/>
      <c r="AN40" s="476"/>
      <c r="AO40" s="476"/>
      <c r="AP40" s="476"/>
      <c r="AQ40" s="476"/>
      <c r="AR40" s="476"/>
      <c r="AS40" s="476"/>
      <c r="AT40" s="476"/>
      <c r="AU40" s="476"/>
      <c r="AV40" s="476"/>
      <c r="AW40" s="476"/>
      <c r="AX40" s="476"/>
      <c r="AY40" s="476"/>
      <c r="AZ40" s="476"/>
      <c r="BB40" s="400"/>
      <c r="BC40" s="400"/>
    </row>
    <row r="41" spans="1:57" ht="15.75" customHeight="1" x14ac:dyDescent="0.25">
      <c r="A41" s="1322"/>
      <c r="B41" s="1323"/>
      <c r="C41" s="1281"/>
      <c r="D41" s="1281"/>
      <c r="E41" s="1281"/>
      <c r="F41" s="1281"/>
      <c r="G41" s="1281"/>
      <c r="H41" s="1281"/>
      <c r="I41" s="1281"/>
      <c r="J41" s="1281"/>
      <c r="K41" s="1281"/>
      <c r="L41" s="1281"/>
      <c r="M41" s="1281"/>
      <c r="N41" s="1281"/>
      <c r="O41" s="1348"/>
      <c r="P41" s="1348"/>
      <c r="R41" s="476"/>
      <c r="S41" s="476"/>
      <c r="T41" s="476"/>
      <c r="U41" s="476"/>
      <c r="V41" s="476"/>
      <c r="W41" s="476"/>
      <c r="X41" s="476"/>
      <c r="Y41" s="476"/>
      <c r="Z41" s="476"/>
      <c r="AA41" s="476"/>
      <c r="AB41" s="476"/>
      <c r="AC41" s="476"/>
      <c r="AD41" s="476"/>
      <c r="AE41" s="476"/>
      <c r="AF41" s="476"/>
      <c r="AG41" s="476"/>
      <c r="AH41" s="476"/>
      <c r="AI41" s="476"/>
      <c r="AJ41" s="476"/>
      <c r="AK41" s="476"/>
      <c r="AL41" s="476"/>
      <c r="AM41" s="476"/>
      <c r="AN41" s="476"/>
      <c r="AO41" s="476"/>
      <c r="AP41" s="476"/>
      <c r="AQ41" s="476"/>
      <c r="AR41" s="476"/>
      <c r="AS41" s="476"/>
      <c r="AT41" s="476"/>
      <c r="AU41" s="476"/>
      <c r="AV41" s="476"/>
      <c r="AW41" s="476"/>
      <c r="AX41" s="476"/>
      <c r="AY41" s="476"/>
      <c r="AZ41" s="476"/>
      <c r="BB41" s="400"/>
      <c r="BC41" s="400"/>
      <c r="BE41" s="125"/>
    </row>
    <row r="42" spans="1:57" ht="15.75" customHeight="1" x14ac:dyDescent="0.25">
      <c r="A42" s="1343"/>
      <c r="B42" s="1344"/>
      <c r="C42" s="1281"/>
      <c r="D42" s="1281"/>
      <c r="E42" s="1281"/>
      <c r="F42" s="1281"/>
      <c r="G42" s="1281"/>
      <c r="H42" s="1281"/>
      <c r="I42" s="1281"/>
      <c r="J42" s="1281"/>
      <c r="K42" s="1281"/>
      <c r="L42" s="1281"/>
      <c r="M42" s="1281"/>
      <c r="N42" s="1281"/>
      <c r="O42" s="1348"/>
      <c r="P42" s="1348"/>
      <c r="R42" s="476"/>
      <c r="S42" s="476"/>
      <c r="T42" s="476"/>
      <c r="U42" s="476"/>
      <c r="V42" s="476"/>
      <c r="W42" s="476"/>
      <c r="X42" s="476"/>
      <c r="Y42" s="476"/>
      <c r="Z42" s="476"/>
      <c r="AA42" s="476"/>
      <c r="AB42" s="476"/>
      <c r="AC42" s="476"/>
      <c r="AD42" s="476"/>
      <c r="AE42" s="476"/>
      <c r="AF42" s="476"/>
      <c r="AG42" s="476"/>
      <c r="AH42" s="476"/>
      <c r="AI42" s="476"/>
      <c r="AJ42" s="476"/>
      <c r="AK42" s="476"/>
      <c r="AL42" s="476"/>
      <c r="AM42" s="476"/>
      <c r="AN42" s="476"/>
      <c r="AO42" s="476"/>
      <c r="AP42" s="476"/>
      <c r="AQ42" s="476"/>
      <c r="AR42" s="476"/>
      <c r="AS42" s="476"/>
      <c r="AT42" s="476"/>
      <c r="AU42" s="476"/>
      <c r="AV42" s="476"/>
      <c r="AW42" s="476"/>
      <c r="AX42" s="476"/>
      <c r="AY42" s="476"/>
      <c r="AZ42" s="476"/>
      <c r="BE42" s="125"/>
    </row>
    <row r="43" spans="1:57" ht="15.75" customHeight="1" x14ac:dyDescent="0.25">
      <c r="A43" s="1345"/>
      <c r="B43" s="1346"/>
      <c r="C43" s="1347" t="s">
        <v>594</v>
      </c>
      <c r="D43" s="1281"/>
      <c r="E43" s="1281"/>
      <c r="F43" s="1281"/>
      <c r="G43" s="1281"/>
      <c r="H43" s="1281"/>
      <c r="I43" s="1281"/>
      <c r="J43" s="1281"/>
      <c r="K43" s="1281"/>
      <c r="L43" s="1281"/>
      <c r="M43" s="1348"/>
      <c r="N43" s="1348"/>
      <c r="O43" s="1348"/>
      <c r="P43" s="1348"/>
      <c r="R43" s="726"/>
      <c r="S43" s="726"/>
      <c r="T43" s="726"/>
      <c r="U43" s="726"/>
      <c r="V43" s="726"/>
      <c r="W43" s="726"/>
      <c r="X43" s="726"/>
      <c r="Y43" s="726"/>
      <c r="Z43" s="726"/>
      <c r="AA43" s="726"/>
      <c r="AB43" s="726"/>
      <c r="AC43" s="726"/>
      <c r="AD43" s="726"/>
      <c r="AE43" s="726"/>
      <c r="AF43" s="726"/>
      <c r="AG43" s="726"/>
      <c r="AH43" s="726"/>
      <c r="AI43" s="726"/>
      <c r="AJ43" s="726"/>
      <c r="AK43" s="726"/>
      <c r="AL43" s="726"/>
      <c r="AM43" s="726"/>
      <c r="AN43" s="726"/>
      <c r="AO43" s="726"/>
      <c r="AP43" s="726"/>
      <c r="AQ43" s="726"/>
      <c r="AR43" s="726"/>
      <c r="AS43" s="726"/>
      <c r="AT43" s="726"/>
      <c r="AU43" s="726"/>
      <c r="AV43" s="726"/>
      <c r="AW43" s="726"/>
      <c r="AX43" s="726"/>
      <c r="AY43" s="726"/>
      <c r="AZ43" s="726"/>
      <c r="BE43" s="125"/>
    </row>
    <row r="44" spans="1:57" ht="24.75" customHeight="1" x14ac:dyDescent="0.25">
      <c r="R44" s="357"/>
      <c r="S44" s="357"/>
      <c r="T44" s="357"/>
      <c r="U44" s="357"/>
      <c r="V44" s="357"/>
      <c r="W44" s="357"/>
      <c r="X44" s="357"/>
      <c r="Y44" s="357"/>
      <c r="Z44" s="357"/>
      <c r="AA44" s="357"/>
      <c r="AB44" s="357"/>
      <c r="AC44" s="357"/>
      <c r="AD44" s="357"/>
      <c r="AE44" s="357"/>
      <c r="AF44" s="357"/>
      <c r="AG44" s="357"/>
      <c r="AH44" s="357"/>
      <c r="AI44" s="357"/>
      <c r="AJ44" s="357"/>
      <c r="AK44" s="357"/>
      <c r="AL44" s="357"/>
      <c r="AM44" s="357"/>
      <c r="AN44" s="357"/>
      <c r="AO44" s="357"/>
      <c r="AP44" s="357"/>
      <c r="AQ44" s="357"/>
      <c r="AR44" s="357"/>
      <c r="AS44" s="357"/>
      <c r="AT44" s="357"/>
      <c r="AU44" s="357"/>
      <c r="AV44" s="357"/>
      <c r="AW44" s="357"/>
      <c r="AX44" s="357"/>
      <c r="AY44" s="357"/>
      <c r="AZ44" s="357"/>
      <c r="BE44" s="125"/>
    </row>
    <row r="45" spans="1:57" ht="24.75" customHeight="1" x14ac:dyDescent="0.25">
      <c r="BE45" s="125"/>
    </row>
    <row r="46" spans="1:57" ht="24.75" customHeight="1" x14ac:dyDescent="0.25">
      <c r="Q46" s="124"/>
      <c r="BE46" s="125"/>
    </row>
    <row r="47" spans="1:57" ht="24" customHeight="1" x14ac:dyDescent="0.25">
      <c r="O47" s="122"/>
      <c r="Q47" s="124"/>
    </row>
    <row r="48" spans="1:57" ht="10.5" customHeight="1" x14ac:dyDescent="0.25">
      <c r="O48" s="122"/>
      <c r="Q48" s="124"/>
      <c r="T48" s="147"/>
      <c r="U48" s="147"/>
    </row>
    <row r="49" spans="17:54" ht="32.25" customHeight="1" x14ac:dyDescent="0.25">
      <c r="Q49" s="124"/>
      <c r="T49" s="214"/>
      <c r="U49" s="214"/>
      <c r="V49" s="214"/>
      <c r="W49" s="214"/>
      <c r="X49" s="214"/>
      <c r="Y49" s="214"/>
      <c r="Z49" s="214"/>
      <c r="AA49" s="214"/>
      <c r="AB49" s="214"/>
      <c r="AC49" s="214"/>
      <c r="AD49" s="214"/>
      <c r="AE49" s="214"/>
      <c r="AF49" s="214"/>
      <c r="AG49" s="214"/>
      <c r="AH49" s="214"/>
      <c r="AI49" s="214"/>
      <c r="AJ49" s="214"/>
      <c r="AK49" s="214"/>
      <c r="AL49" s="214"/>
      <c r="AM49" s="214"/>
      <c r="AN49" s="214"/>
      <c r="AO49" s="214"/>
      <c r="AP49" s="214"/>
      <c r="AQ49" s="214"/>
      <c r="AR49" s="214"/>
      <c r="AS49" s="214"/>
      <c r="AT49" s="214"/>
      <c r="AU49" s="214"/>
      <c r="AV49" s="214"/>
      <c r="AW49" s="214"/>
      <c r="AX49" s="214"/>
      <c r="AY49" s="214"/>
      <c r="AZ49" s="214"/>
      <c r="BA49" s="214"/>
      <c r="BB49" s="214"/>
    </row>
    <row r="50" spans="17:54" ht="32.25" customHeight="1" x14ac:dyDescent="0.25">
      <c r="R50" s="124"/>
      <c r="S50" s="124"/>
      <c r="T50" s="214"/>
      <c r="U50" s="214"/>
      <c r="V50" s="214"/>
      <c r="W50" s="214"/>
      <c r="X50" s="214"/>
      <c r="Y50" s="214"/>
      <c r="Z50" s="214"/>
      <c r="AA50" s="214"/>
      <c r="AB50" s="214"/>
      <c r="AC50" s="214"/>
      <c r="AD50" s="214"/>
      <c r="AE50" s="214"/>
      <c r="AF50" s="214"/>
      <c r="AG50" s="214"/>
      <c r="AH50" s="214"/>
      <c r="AI50" s="214"/>
      <c r="AJ50" s="214"/>
      <c r="AK50" s="214"/>
      <c r="AL50" s="214"/>
      <c r="AM50" s="214"/>
      <c r="AN50" s="214"/>
      <c r="AO50" s="214"/>
      <c r="AP50" s="214"/>
      <c r="AQ50" s="214"/>
      <c r="AR50" s="214"/>
      <c r="AS50" s="214"/>
      <c r="AT50" s="214"/>
      <c r="AU50" s="214"/>
      <c r="AV50" s="214"/>
      <c r="AW50" s="214"/>
      <c r="AX50" s="214"/>
      <c r="AY50" s="214"/>
      <c r="AZ50" s="214"/>
      <c r="BA50" s="214"/>
      <c r="BB50" s="214"/>
    </row>
    <row r="51" spans="17:54" ht="15.75" x14ac:dyDescent="0.25">
      <c r="R51" s="124"/>
      <c r="S51" s="124"/>
    </row>
    <row r="52" spans="17:54" ht="19.5" customHeight="1" x14ac:dyDescent="0.25">
      <c r="R52" s="124"/>
      <c r="S52" s="124"/>
      <c r="T52" s="665"/>
      <c r="U52" s="665"/>
      <c r="V52" s="124"/>
      <c r="W52" s="1382"/>
      <c r="X52" s="1336"/>
      <c r="Y52" s="240"/>
      <c r="Z52" s="240"/>
      <c r="AA52" s="240"/>
      <c r="AB52" s="240"/>
      <c r="AC52" s="240"/>
      <c r="AD52" s="240"/>
      <c r="AE52" s="240"/>
      <c r="AF52" s="240"/>
      <c r="AG52" s="240"/>
      <c r="AH52" s="240"/>
      <c r="AI52" s="240"/>
      <c r="AJ52" s="240"/>
      <c r="AK52" s="240"/>
      <c r="AL52" s="240"/>
      <c r="AM52" s="240"/>
      <c r="AN52" s="240"/>
      <c r="AO52" s="240"/>
      <c r="AP52" s="240"/>
      <c r="AQ52" s="240"/>
      <c r="AR52" s="240"/>
      <c r="AS52" s="240"/>
      <c r="AT52" s="240"/>
      <c r="AU52" s="240"/>
      <c r="AV52" s="240"/>
      <c r="AW52" s="240"/>
      <c r="AX52" s="240"/>
      <c r="AY52" s="240"/>
      <c r="AZ52" s="240"/>
      <c r="BA52" s="240"/>
    </row>
    <row r="53" spans="17:54" ht="15.75" x14ac:dyDescent="0.25">
      <c r="R53" s="124"/>
      <c r="S53" s="124"/>
      <c r="T53" s="665"/>
      <c r="U53" s="665"/>
      <c r="V53" s="124"/>
      <c r="W53" s="519"/>
      <c r="X53" s="519"/>
      <c r="Y53" s="701"/>
      <c r="Z53" s="701"/>
      <c r="AA53" s="701"/>
      <c r="AB53" s="701"/>
      <c r="AC53" s="701"/>
      <c r="AD53" s="701"/>
      <c r="AE53" s="701"/>
      <c r="AF53" s="701"/>
      <c r="AG53" s="701"/>
      <c r="AH53" s="701"/>
      <c r="AI53" s="701"/>
      <c r="AJ53" s="701"/>
      <c r="AK53" s="701"/>
      <c r="AL53" s="701"/>
      <c r="AM53" s="701"/>
      <c r="AN53" s="701"/>
      <c r="AO53" s="701"/>
      <c r="AP53" s="701"/>
      <c r="AQ53" s="701"/>
      <c r="AR53" s="701"/>
      <c r="AS53" s="701"/>
      <c r="AT53" s="701"/>
      <c r="AU53" s="701"/>
      <c r="AV53" s="701"/>
      <c r="AW53" s="701"/>
      <c r="AX53" s="701"/>
      <c r="AY53" s="701"/>
      <c r="AZ53" s="701"/>
      <c r="BA53" s="701"/>
    </row>
    <row r="54" spans="17:54" ht="15.75" x14ac:dyDescent="0.25">
      <c r="T54" s="166"/>
      <c r="U54" s="166"/>
      <c r="V54" s="124"/>
      <c r="W54" s="123"/>
      <c r="X54" s="123"/>
      <c r="Y54" s="129"/>
      <c r="Z54" s="129"/>
      <c r="AA54" s="129"/>
      <c r="AB54" s="129"/>
      <c r="AC54" s="129"/>
      <c r="AD54" s="129"/>
      <c r="AE54" s="129"/>
      <c r="AF54" s="129"/>
      <c r="AG54" s="129"/>
      <c r="AH54" s="129"/>
      <c r="AI54" s="129"/>
      <c r="AJ54" s="129"/>
      <c r="AK54" s="129"/>
      <c r="AL54" s="129"/>
      <c r="AM54" s="129"/>
      <c r="AN54" s="129"/>
      <c r="AO54" s="129"/>
      <c r="AP54" s="129"/>
      <c r="AQ54" s="129"/>
      <c r="AR54" s="129"/>
      <c r="AS54" s="129"/>
      <c r="AT54" s="129"/>
      <c r="AU54" s="129"/>
      <c r="AV54" s="129"/>
      <c r="AW54" s="129"/>
      <c r="AX54" s="129"/>
      <c r="AY54" s="129"/>
      <c r="AZ54" s="129"/>
      <c r="BA54" s="129"/>
    </row>
    <row r="55" spans="17:54" ht="15.75" x14ac:dyDescent="0.25">
      <c r="T55" s="166"/>
      <c r="U55" s="166"/>
      <c r="V55" s="124"/>
      <c r="W55" s="123"/>
      <c r="X55" s="123"/>
      <c r="Y55" s="129"/>
      <c r="Z55" s="129"/>
      <c r="AA55" s="129"/>
      <c r="AB55" s="129"/>
      <c r="AC55" s="129"/>
      <c r="AD55" s="129"/>
      <c r="AE55" s="129"/>
      <c r="AF55" s="129"/>
      <c r="AG55" s="129"/>
      <c r="AH55" s="129"/>
      <c r="AI55" s="129"/>
      <c r="AJ55" s="129"/>
      <c r="AK55" s="129"/>
      <c r="AL55" s="129"/>
      <c r="AM55" s="129"/>
      <c r="AN55" s="129"/>
      <c r="AO55" s="129"/>
      <c r="AP55" s="129"/>
      <c r="AQ55" s="129"/>
      <c r="AR55" s="129"/>
      <c r="AS55" s="129"/>
      <c r="AT55" s="129"/>
      <c r="AU55" s="129"/>
      <c r="AV55" s="129"/>
      <c r="AW55" s="129"/>
      <c r="AX55" s="129"/>
      <c r="AY55" s="129"/>
      <c r="AZ55" s="129"/>
      <c r="BA55" s="129"/>
    </row>
    <row r="56" spans="17:54" ht="15.75" x14ac:dyDescent="0.25">
      <c r="T56" s="166"/>
      <c r="U56" s="166"/>
      <c r="V56" s="124"/>
      <c r="W56" s="123"/>
      <c r="X56" s="123"/>
      <c r="Y56" s="129"/>
      <c r="Z56" s="129"/>
      <c r="AA56" s="129"/>
      <c r="AB56" s="129"/>
      <c r="AC56" s="129"/>
      <c r="AD56" s="129"/>
      <c r="AE56" s="129"/>
      <c r="AF56" s="129"/>
      <c r="AG56" s="129"/>
      <c r="AH56" s="129"/>
      <c r="AI56" s="129"/>
      <c r="AJ56" s="129"/>
      <c r="AK56" s="129"/>
      <c r="AL56" s="129"/>
      <c r="AM56" s="129"/>
      <c r="AN56" s="129"/>
      <c r="AO56" s="129"/>
      <c r="AP56" s="129"/>
      <c r="AQ56" s="129"/>
      <c r="AR56" s="129"/>
      <c r="AS56" s="129"/>
      <c r="AT56" s="129"/>
      <c r="AU56" s="129"/>
      <c r="AV56" s="129"/>
      <c r="AW56" s="129"/>
      <c r="AX56" s="129"/>
      <c r="AY56" s="129"/>
      <c r="AZ56" s="129"/>
      <c r="BA56" s="129"/>
    </row>
    <row r="57" spans="17:54" ht="15.75" x14ac:dyDescent="0.25">
      <c r="T57" s="166"/>
      <c r="U57" s="166"/>
      <c r="V57" s="124"/>
      <c r="W57" s="123"/>
      <c r="X57" s="123"/>
      <c r="Y57" s="129"/>
      <c r="Z57" s="129"/>
      <c r="AA57" s="129"/>
      <c r="AB57" s="129"/>
      <c r="AC57" s="129"/>
      <c r="AD57" s="129"/>
      <c r="AE57" s="129"/>
      <c r="AF57" s="129"/>
      <c r="AG57" s="129"/>
      <c r="AH57" s="129"/>
      <c r="AI57" s="129"/>
      <c r="AJ57" s="129"/>
      <c r="AK57" s="129"/>
      <c r="AL57" s="129"/>
      <c r="AM57" s="129"/>
      <c r="AN57" s="129"/>
      <c r="AO57" s="129"/>
      <c r="AP57" s="129"/>
      <c r="AQ57" s="129"/>
      <c r="AR57" s="129"/>
      <c r="AS57" s="129"/>
      <c r="AT57" s="129"/>
      <c r="AU57" s="129"/>
      <c r="AV57" s="129"/>
      <c r="AW57" s="129"/>
      <c r="AX57" s="129"/>
      <c r="AY57" s="129"/>
      <c r="AZ57" s="129"/>
      <c r="BA57" s="129"/>
    </row>
    <row r="58" spans="17:54" ht="15.75" x14ac:dyDescent="0.25">
      <c r="T58" s="166"/>
      <c r="U58" s="166"/>
      <c r="V58" s="124"/>
      <c r="W58" s="123"/>
      <c r="X58" s="123"/>
      <c r="Y58" s="129"/>
      <c r="Z58" s="129"/>
      <c r="AA58" s="129"/>
      <c r="AB58" s="129"/>
      <c r="AC58" s="129"/>
      <c r="AD58" s="129"/>
      <c r="AE58" s="129"/>
      <c r="AF58" s="129"/>
      <c r="AG58" s="129"/>
      <c r="AH58" s="129"/>
      <c r="AI58" s="129"/>
      <c r="AJ58" s="129"/>
      <c r="AK58" s="129"/>
      <c r="AL58" s="129"/>
      <c r="AM58" s="129"/>
      <c r="AN58" s="129"/>
      <c r="AO58" s="129"/>
      <c r="AP58" s="129"/>
      <c r="AQ58" s="129"/>
      <c r="AR58" s="129"/>
      <c r="AS58" s="129"/>
      <c r="AT58" s="129"/>
      <c r="AU58" s="129"/>
      <c r="AV58" s="129"/>
      <c r="AW58" s="129"/>
      <c r="AX58" s="129"/>
      <c r="AY58" s="129"/>
      <c r="AZ58" s="129"/>
      <c r="BA58" s="129"/>
    </row>
    <row r="59" spans="17:54" ht="15.75" x14ac:dyDescent="0.25">
      <c r="T59" s="166"/>
      <c r="U59" s="166"/>
      <c r="V59" s="124"/>
      <c r="W59" s="123"/>
      <c r="X59" s="123"/>
      <c r="Y59" s="129"/>
      <c r="Z59" s="129"/>
      <c r="AA59" s="129"/>
      <c r="AB59" s="129"/>
      <c r="AC59" s="129"/>
      <c r="AD59" s="129"/>
      <c r="AE59" s="129"/>
      <c r="AF59" s="129"/>
      <c r="AG59" s="129"/>
      <c r="AH59" s="129"/>
      <c r="AI59" s="129"/>
      <c r="AJ59" s="129"/>
      <c r="AK59" s="129"/>
      <c r="AL59" s="129"/>
      <c r="AM59" s="129"/>
      <c r="AN59" s="129"/>
      <c r="AO59" s="129"/>
      <c r="AP59" s="129"/>
      <c r="AQ59" s="129"/>
      <c r="AR59" s="129"/>
      <c r="AS59" s="129"/>
      <c r="AT59" s="129"/>
      <c r="AU59" s="129"/>
      <c r="AV59" s="129"/>
      <c r="AW59" s="129"/>
      <c r="AX59" s="129"/>
      <c r="AY59" s="129"/>
      <c r="AZ59" s="129"/>
      <c r="BA59" s="129"/>
    </row>
    <row r="60" spans="17:54" ht="15.75" x14ac:dyDescent="0.25">
      <c r="T60" s="166"/>
      <c r="U60" s="166"/>
      <c r="V60" s="124"/>
      <c r="W60" s="123"/>
      <c r="X60" s="123"/>
      <c r="Y60" s="129"/>
      <c r="Z60" s="129"/>
      <c r="AA60" s="129"/>
      <c r="AB60" s="129"/>
      <c r="AC60" s="129"/>
      <c r="AD60" s="129"/>
      <c r="AE60" s="129"/>
      <c r="AF60" s="129"/>
      <c r="AG60" s="129"/>
      <c r="AH60" s="129"/>
      <c r="AI60" s="129"/>
      <c r="AJ60" s="129"/>
      <c r="AK60" s="129"/>
      <c r="AL60" s="129"/>
      <c r="AM60" s="129"/>
      <c r="AN60" s="129"/>
      <c r="AO60" s="129"/>
      <c r="AP60" s="129"/>
      <c r="AQ60" s="129"/>
      <c r="AR60" s="129"/>
      <c r="AS60" s="129"/>
      <c r="AT60" s="129"/>
      <c r="AU60" s="129"/>
      <c r="AV60" s="129"/>
      <c r="AW60" s="129"/>
      <c r="AX60" s="129"/>
      <c r="AY60" s="129"/>
      <c r="AZ60" s="129"/>
      <c r="BA60" s="129"/>
    </row>
    <row r="61" spans="17:54" ht="15.75" x14ac:dyDescent="0.25">
      <c r="T61" s="166"/>
      <c r="U61" s="166"/>
      <c r="V61" s="124"/>
      <c r="W61" s="123"/>
      <c r="X61" s="123"/>
      <c r="Y61" s="129"/>
      <c r="Z61" s="129"/>
      <c r="AA61" s="129"/>
      <c r="AB61" s="129"/>
      <c r="AC61" s="129"/>
      <c r="AD61" s="129"/>
      <c r="AE61" s="129"/>
      <c r="AF61" s="129"/>
      <c r="AG61" s="129"/>
      <c r="AH61" s="129"/>
      <c r="AI61" s="129"/>
      <c r="AJ61" s="129"/>
      <c r="AK61" s="129"/>
      <c r="AL61" s="129"/>
      <c r="AM61" s="129"/>
      <c r="AN61" s="129"/>
      <c r="AO61" s="129"/>
      <c r="AP61" s="129"/>
      <c r="AQ61" s="129"/>
      <c r="AR61" s="129"/>
      <c r="AS61" s="129"/>
      <c r="AT61" s="129"/>
      <c r="AU61" s="129"/>
      <c r="AV61" s="129"/>
      <c r="AW61" s="129"/>
      <c r="AX61" s="129"/>
      <c r="AY61" s="129"/>
      <c r="AZ61" s="129"/>
      <c r="BA61" s="129"/>
    </row>
    <row r="62" spans="17:54" ht="15.75" x14ac:dyDescent="0.25">
      <c r="T62" s="166"/>
      <c r="U62" s="166"/>
      <c r="V62" s="124"/>
      <c r="W62" s="123"/>
      <c r="X62" s="123"/>
      <c r="Y62" s="129"/>
      <c r="Z62" s="129"/>
      <c r="AA62" s="129"/>
      <c r="AB62" s="129"/>
      <c r="AC62" s="129"/>
      <c r="AD62" s="129"/>
      <c r="AE62" s="129"/>
      <c r="AF62" s="129"/>
      <c r="AG62" s="129"/>
      <c r="AH62" s="129"/>
      <c r="AI62" s="129"/>
      <c r="AJ62" s="129"/>
      <c r="AK62" s="129"/>
      <c r="AL62" s="129"/>
      <c r="AM62" s="129"/>
      <c r="AN62" s="129"/>
      <c r="AO62" s="129"/>
      <c r="AP62" s="129"/>
      <c r="AQ62" s="129"/>
      <c r="AR62" s="129"/>
      <c r="AS62" s="129"/>
      <c r="AT62" s="129"/>
      <c r="AU62" s="129"/>
      <c r="AV62" s="129"/>
      <c r="AW62" s="129"/>
      <c r="AX62" s="129"/>
      <c r="AY62" s="129"/>
      <c r="AZ62" s="129"/>
      <c r="BA62" s="129"/>
    </row>
    <row r="63" spans="17:54" ht="15.75" x14ac:dyDescent="0.25">
      <c r="T63" s="166"/>
      <c r="U63" s="166"/>
      <c r="V63" s="124"/>
      <c r="W63" s="123"/>
      <c r="X63" s="123"/>
      <c r="Y63" s="129"/>
      <c r="Z63" s="129"/>
      <c r="AA63" s="129"/>
      <c r="AB63" s="129"/>
      <c r="AC63" s="129"/>
      <c r="AD63" s="129"/>
      <c r="AE63" s="129"/>
      <c r="AF63" s="129"/>
      <c r="AG63" s="129"/>
      <c r="AH63" s="129"/>
      <c r="AI63" s="129"/>
      <c r="AJ63" s="129"/>
      <c r="AK63" s="129"/>
      <c r="AL63" s="129"/>
      <c r="AM63" s="129"/>
      <c r="AN63" s="129"/>
      <c r="AO63" s="129"/>
      <c r="AP63" s="129"/>
      <c r="AQ63" s="129"/>
      <c r="AR63" s="129"/>
      <c r="AS63" s="129"/>
      <c r="AT63" s="129"/>
      <c r="AU63" s="129"/>
      <c r="AV63" s="129"/>
      <c r="AW63" s="129"/>
      <c r="AX63" s="129"/>
      <c r="AY63" s="129"/>
      <c r="AZ63" s="129"/>
      <c r="BA63" s="129"/>
    </row>
    <row r="64" spans="17:54" ht="15.75" x14ac:dyDescent="0.25">
      <c r="T64" s="166"/>
      <c r="U64" s="166"/>
      <c r="V64" s="124"/>
      <c r="W64" s="123"/>
      <c r="X64" s="123"/>
      <c r="Y64" s="129"/>
      <c r="Z64" s="129"/>
      <c r="AA64" s="129"/>
      <c r="AB64" s="129"/>
      <c r="AC64" s="129"/>
      <c r="AD64" s="129"/>
      <c r="AE64" s="129"/>
      <c r="AF64" s="129"/>
      <c r="AG64" s="129"/>
      <c r="AH64" s="129"/>
      <c r="AI64" s="129"/>
      <c r="AJ64" s="129"/>
      <c r="AK64" s="129"/>
      <c r="AL64" s="129"/>
      <c r="AM64" s="129"/>
      <c r="AN64" s="129"/>
      <c r="AO64" s="129"/>
      <c r="AP64" s="129"/>
      <c r="AQ64" s="129"/>
      <c r="AR64" s="129"/>
      <c r="AS64" s="129"/>
      <c r="AT64" s="129"/>
      <c r="AU64" s="129"/>
      <c r="AV64" s="129"/>
      <c r="AW64" s="129"/>
      <c r="AX64" s="129"/>
      <c r="AY64" s="129"/>
      <c r="AZ64" s="129"/>
      <c r="BA64" s="129"/>
    </row>
    <row r="65" spans="20:53" ht="15.75" x14ac:dyDescent="0.25">
      <c r="T65" s="166"/>
      <c r="U65" s="166"/>
      <c r="V65" s="124"/>
      <c r="W65" s="123"/>
      <c r="X65" s="123"/>
      <c r="Y65" s="129"/>
      <c r="Z65" s="129"/>
      <c r="AA65" s="129"/>
      <c r="AB65" s="129"/>
      <c r="AC65" s="129"/>
      <c r="AD65" s="129"/>
      <c r="AE65" s="129"/>
      <c r="AF65" s="129"/>
      <c r="AG65" s="129"/>
      <c r="AH65" s="129"/>
      <c r="AI65" s="129"/>
      <c r="AJ65" s="129"/>
      <c r="AK65" s="129"/>
      <c r="AL65" s="129"/>
      <c r="AM65" s="129"/>
      <c r="AN65" s="129"/>
      <c r="AO65" s="129"/>
      <c r="AP65" s="129"/>
      <c r="AQ65" s="129"/>
      <c r="AR65" s="129"/>
      <c r="AS65" s="129"/>
      <c r="AT65" s="129"/>
      <c r="AU65" s="129"/>
      <c r="AV65" s="129"/>
      <c r="AW65" s="129"/>
      <c r="AX65" s="129"/>
      <c r="AY65" s="129"/>
      <c r="AZ65" s="129"/>
      <c r="BA65" s="129"/>
    </row>
    <row r="66" spans="20:53" ht="15.75" x14ac:dyDescent="0.25">
      <c r="T66" s="166"/>
      <c r="U66" s="166"/>
      <c r="V66" s="124"/>
      <c r="W66" s="123"/>
      <c r="X66" s="123"/>
      <c r="Y66" s="129"/>
      <c r="Z66" s="129"/>
      <c r="AA66" s="129"/>
      <c r="AB66" s="129"/>
      <c r="AC66" s="129"/>
      <c r="AD66" s="129"/>
      <c r="AE66" s="129"/>
      <c r="AF66" s="129"/>
      <c r="AG66" s="129"/>
      <c r="AH66" s="129"/>
      <c r="AI66" s="129"/>
      <c r="AJ66" s="129"/>
      <c r="AK66" s="129"/>
      <c r="AL66" s="129"/>
      <c r="AM66" s="129"/>
      <c r="AN66" s="129"/>
      <c r="AO66" s="129"/>
      <c r="AP66" s="129"/>
      <c r="AQ66" s="129"/>
      <c r="AR66" s="129"/>
      <c r="AS66" s="129"/>
      <c r="AT66" s="129"/>
      <c r="AU66" s="129"/>
      <c r="AV66" s="129"/>
      <c r="AW66" s="129"/>
      <c r="AX66" s="129"/>
      <c r="AY66" s="129"/>
      <c r="AZ66" s="129"/>
      <c r="BA66" s="129"/>
    </row>
    <row r="67" spans="20:53" ht="15.75" x14ac:dyDescent="0.25">
      <c r="T67" s="166"/>
      <c r="U67" s="166"/>
      <c r="V67" s="124"/>
      <c r="W67" s="123"/>
      <c r="X67" s="123"/>
      <c r="Y67" s="129"/>
      <c r="Z67" s="129"/>
      <c r="AA67" s="129"/>
      <c r="AB67" s="129"/>
      <c r="AC67" s="129"/>
      <c r="AD67" s="129"/>
      <c r="AE67" s="129"/>
      <c r="AF67" s="129"/>
      <c r="AG67" s="129"/>
      <c r="AH67" s="129"/>
      <c r="AI67" s="129"/>
      <c r="AJ67" s="129"/>
      <c r="AK67" s="129"/>
      <c r="AL67" s="129"/>
      <c r="AM67" s="129"/>
      <c r="AN67" s="129"/>
      <c r="AO67" s="129"/>
      <c r="AP67" s="129"/>
      <c r="AQ67" s="129"/>
      <c r="AR67" s="129"/>
      <c r="AS67" s="129"/>
      <c r="AT67" s="129"/>
      <c r="AU67" s="129"/>
      <c r="AV67" s="129"/>
      <c r="AW67" s="129"/>
      <c r="AX67" s="129"/>
      <c r="AY67" s="129"/>
      <c r="AZ67" s="129"/>
      <c r="BA67" s="129"/>
    </row>
    <row r="68" spans="20:53" ht="15.75" x14ac:dyDescent="0.25">
      <c r="T68" s="166"/>
      <c r="U68" s="166"/>
      <c r="V68" s="124"/>
      <c r="W68" s="123"/>
      <c r="X68" s="123"/>
      <c r="Y68" s="129"/>
      <c r="Z68" s="129"/>
      <c r="AA68" s="129"/>
      <c r="AB68" s="129"/>
      <c r="AC68" s="129"/>
      <c r="AD68" s="129"/>
      <c r="AE68" s="129"/>
      <c r="AF68" s="129"/>
      <c r="AG68" s="129"/>
      <c r="AH68" s="129"/>
      <c r="AI68" s="129"/>
      <c r="AJ68" s="129"/>
      <c r="AK68" s="129"/>
      <c r="AL68" s="129"/>
      <c r="AM68" s="129"/>
      <c r="AN68" s="129"/>
      <c r="AO68" s="129"/>
      <c r="AP68" s="129"/>
      <c r="AQ68" s="129"/>
      <c r="AR68" s="129"/>
      <c r="AS68" s="129"/>
      <c r="AT68" s="129"/>
      <c r="AU68" s="129"/>
      <c r="AV68" s="129"/>
      <c r="AW68" s="129"/>
      <c r="AX68" s="129"/>
      <c r="AY68" s="129"/>
      <c r="AZ68" s="129"/>
      <c r="BA68" s="129"/>
    </row>
    <row r="69" spans="20:53" ht="15.75" x14ac:dyDescent="0.25">
      <c r="T69" s="166"/>
      <c r="U69" s="166"/>
      <c r="V69" s="124"/>
      <c r="W69" s="123"/>
      <c r="X69" s="123"/>
      <c r="Y69" s="129"/>
      <c r="Z69" s="129"/>
      <c r="AA69" s="129"/>
      <c r="AB69" s="129"/>
      <c r="AC69" s="129"/>
      <c r="AD69" s="129"/>
      <c r="AE69" s="129"/>
      <c r="AF69" s="129"/>
      <c r="AG69" s="129"/>
      <c r="AH69" s="129"/>
      <c r="AI69" s="129"/>
      <c r="AJ69" s="129"/>
      <c r="AK69" s="129"/>
      <c r="AL69" s="129"/>
      <c r="AM69" s="129"/>
      <c r="AN69" s="129"/>
      <c r="AO69" s="129"/>
      <c r="AP69" s="129"/>
      <c r="AQ69" s="129"/>
      <c r="AR69" s="129"/>
      <c r="AS69" s="129"/>
      <c r="AT69" s="129"/>
      <c r="AU69" s="129"/>
      <c r="AV69" s="129"/>
      <c r="AW69" s="129"/>
      <c r="AX69" s="129"/>
      <c r="AY69" s="129"/>
      <c r="AZ69" s="129"/>
      <c r="BA69" s="129"/>
    </row>
    <row r="70" spans="20:53" ht="15.75" x14ac:dyDescent="0.25">
      <c r="T70" s="166"/>
      <c r="U70" s="166"/>
      <c r="V70" s="124"/>
      <c r="W70" s="123"/>
      <c r="X70" s="123"/>
      <c r="Y70" s="129"/>
      <c r="Z70" s="129"/>
      <c r="AA70" s="129"/>
      <c r="AB70" s="129"/>
      <c r="AC70" s="129"/>
      <c r="AD70" s="129"/>
      <c r="AE70" s="129"/>
      <c r="AF70" s="129"/>
      <c r="AG70" s="129"/>
      <c r="AH70" s="129"/>
      <c r="AI70" s="129"/>
      <c r="AJ70" s="129"/>
      <c r="AK70" s="129"/>
      <c r="AL70" s="129"/>
      <c r="AM70" s="129"/>
      <c r="AN70" s="129"/>
      <c r="AO70" s="129"/>
      <c r="AP70" s="129"/>
      <c r="AQ70" s="129"/>
      <c r="AR70" s="129"/>
      <c r="AS70" s="129"/>
      <c r="AT70" s="129"/>
      <c r="AU70" s="129"/>
      <c r="AV70" s="129"/>
      <c r="AW70" s="129"/>
      <c r="AX70" s="129"/>
      <c r="AY70" s="129"/>
      <c r="AZ70" s="129"/>
      <c r="BA70" s="129"/>
    </row>
    <row r="71" spans="20:53" ht="15.75" x14ac:dyDescent="0.25">
      <c r="T71" s="166"/>
      <c r="U71" s="166"/>
      <c r="V71" s="124"/>
      <c r="W71" s="123"/>
      <c r="X71" s="123"/>
      <c r="Y71" s="129"/>
      <c r="Z71" s="129"/>
      <c r="AA71" s="129"/>
      <c r="AB71" s="129"/>
      <c r="AC71" s="129"/>
      <c r="AD71" s="129"/>
      <c r="AE71" s="129"/>
      <c r="AF71" s="129"/>
      <c r="AG71" s="129"/>
      <c r="AH71" s="129"/>
      <c r="AI71" s="129"/>
      <c r="AJ71" s="129"/>
      <c r="AK71" s="129"/>
      <c r="AL71" s="129"/>
      <c r="AM71" s="129"/>
      <c r="AN71" s="129"/>
      <c r="AO71" s="129"/>
      <c r="AP71" s="129"/>
      <c r="AQ71" s="129"/>
      <c r="AR71" s="129"/>
      <c r="AS71" s="129"/>
      <c r="AT71" s="129"/>
      <c r="AU71" s="129"/>
      <c r="AV71" s="129"/>
      <c r="AW71" s="129"/>
      <c r="AX71" s="129"/>
      <c r="AY71" s="129"/>
      <c r="AZ71" s="129"/>
      <c r="BA71" s="129"/>
    </row>
    <row r="72" spans="20:53" ht="15.75" x14ac:dyDescent="0.25">
      <c r="T72" s="166"/>
      <c r="U72" s="166"/>
      <c r="V72" s="124"/>
      <c r="W72" s="123"/>
      <c r="X72" s="123"/>
      <c r="Y72" s="129"/>
      <c r="Z72" s="129"/>
      <c r="AA72" s="129"/>
      <c r="AB72" s="129"/>
      <c r="AC72" s="129"/>
      <c r="AD72" s="129"/>
      <c r="AE72" s="129"/>
      <c r="AF72" s="129"/>
      <c r="AG72" s="129"/>
      <c r="AH72" s="129"/>
      <c r="AI72" s="129"/>
      <c r="AJ72" s="129"/>
      <c r="AK72" s="129"/>
      <c r="AL72" s="129"/>
      <c r="AM72" s="129"/>
      <c r="AN72" s="129"/>
      <c r="AO72" s="129"/>
      <c r="AP72" s="129"/>
      <c r="AQ72" s="129"/>
      <c r="AR72" s="129"/>
      <c r="AS72" s="129"/>
      <c r="AT72" s="129"/>
      <c r="AU72" s="129"/>
      <c r="AV72" s="129"/>
      <c r="AW72" s="129"/>
      <c r="AX72" s="129"/>
      <c r="AY72" s="129"/>
      <c r="AZ72" s="129"/>
      <c r="BA72" s="129"/>
    </row>
    <row r="73" spans="20:53" ht="15.75" x14ac:dyDescent="0.25">
      <c r="T73" s="166"/>
      <c r="U73" s="166"/>
      <c r="V73" s="124"/>
      <c r="W73" s="123"/>
      <c r="X73" s="123"/>
      <c r="Y73" s="129"/>
      <c r="Z73" s="129"/>
      <c r="AA73" s="129"/>
      <c r="AB73" s="129"/>
      <c r="AC73" s="129"/>
      <c r="AD73" s="129"/>
      <c r="AE73" s="129"/>
      <c r="AF73" s="129"/>
      <c r="AG73" s="129"/>
      <c r="AH73" s="129"/>
      <c r="AI73" s="129"/>
      <c r="AJ73" s="129"/>
      <c r="AK73" s="129"/>
      <c r="AL73" s="129"/>
      <c r="AM73" s="129"/>
      <c r="AN73" s="129"/>
      <c r="AO73" s="129"/>
      <c r="AP73" s="129"/>
      <c r="AQ73" s="129"/>
      <c r="AR73" s="129"/>
      <c r="AS73" s="129"/>
      <c r="AT73" s="129"/>
      <c r="AU73" s="129"/>
      <c r="AV73" s="129"/>
      <c r="AW73" s="129"/>
      <c r="AX73" s="129"/>
      <c r="AY73" s="129"/>
      <c r="AZ73" s="129"/>
      <c r="BA73" s="129"/>
    </row>
    <row r="74" spans="20:53" ht="15.75" x14ac:dyDescent="0.25">
      <c r="T74" s="166"/>
      <c r="U74" s="166"/>
      <c r="V74" s="124"/>
      <c r="W74" s="123"/>
      <c r="X74" s="123"/>
      <c r="Y74" s="129"/>
      <c r="Z74" s="129"/>
      <c r="AA74" s="129"/>
      <c r="AB74" s="129"/>
      <c r="AC74" s="129"/>
      <c r="AD74" s="129"/>
      <c r="AE74" s="129"/>
      <c r="AF74" s="129"/>
      <c r="AG74" s="129"/>
      <c r="AH74" s="129"/>
      <c r="AI74" s="129"/>
      <c r="AJ74" s="129"/>
      <c r="AK74" s="129"/>
      <c r="AL74" s="129"/>
      <c r="AM74" s="129"/>
      <c r="AN74" s="129"/>
      <c r="AO74" s="129"/>
      <c r="AP74" s="129"/>
      <c r="AQ74" s="129"/>
      <c r="AR74" s="129"/>
      <c r="AS74" s="129"/>
      <c r="AT74" s="129"/>
      <c r="AU74" s="129"/>
      <c r="AV74" s="129"/>
      <c r="AW74" s="129"/>
      <c r="AX74" s="129"/>
      <c r="AY74" s="129"/>
      <c r="AZ74" s="129"/>
      <c r="BA74" s="129"/>
    </row>
    <row r="75" spans="20:53" ht="15.75" x14ac:dyDescent="0.25">
      <c r="T75" s="166"/>
      <c r="U75" s="166"/>
      <c r="V75" s="124"/>
      <c r="W75" s="124"/>
      <c r="X75" s="123"/>
      <c r="Y75" s="129"/>
      <c r="Z75" s="129"/>
      <c r="AA75" s="129"/>
      <c r="AB75" s="129"/>
      <c r="AC75" s="129"/>
      <c r="AD75" s="129"/>
      <c r="AE75" s="129"/>
      <c r="AF75" s="129"/>
      <c r="AG75" s="129"/>
      <c r="AH75" s="129"/>
      <c r="AI75" s="129"/>
      <c r="AJ75" s="129"/>
      <c r="AK75" s="129"/>
      <c r="AL75" s="129"/>
      <c r="AM75" s="129"/>
      <c r="AN75" s="129"/>
      <c r="AO75" s="129"/>
      <c r="AP75" s="129"/>
      <c r="AQ75" s="129"/>
      <c r="AR75" s="129"/>
      <c r="AS75" s="129"/>
      <c r="AT75" s="129"/>
      <c r="AU75" s="129"/>
      <c r="AV75" s="129"/>
      <c r="AW75" s="129"/>
      <c r="AX75" s="129"/>
      <c r="AY75" s="129"/>
      <c r="AZ75" s="129"/>
      <c r="BA75" s="129"/>
    </row>
    <row r="76" spans="20:53" ht="15.75" x14ac:dyDescent="0.25">
      <c r="T76" s="166"/>
      <c r="U76" s="166"/>
      <c r="V76" s="124"/>
      <c r="W76" s="124"/>
      <c r="X76" s="123"/>
      <c r="Y76" s="129"/>
      <c r="Z76" s="129"/>
      <c r="AA76" s="129"/>
      <c r="AB76" s="129"/>
      <c r="AC76" s="129"/>
      <c r="AD76" s="129"/>
      <c r="AE76" s="129"/>
      <c r="AF76" s="129"/>
      <c r="AG76" s="129"/>
      <c r="AH76" s="129"/>
      <c r="AI76" s="129"/>
      <c r="AJ76" s="129"/>
      <c r="AK76" s="129"/>
      <c r="AL76" s="129"/>
      <c r="AM76" s="129"/>
      <c r="AN76" s="129"/>
      <c r="AO76" s="129"/>
      <c r="AP76" s="129"/>
      <c r="AQ76" s="129"/>
      <c r="AR76" s="129"/>
      <c r="AS76" s="129"/>
      <c r="AT76" s="129"/>
      <c r="AU76" s="129"/>
      <c r="AV76" s="129"/>
      <c r="AW76" s="129"/>
      <c r="AX76" s="129"/>
      <c r="AY76" s="129"/>
      <c r="AZ76" s="129"/>
      <c r="BA76" s="129"/>
    </row>
    <row r="77" spans="20:53" ht="15.75" x14ac:dyDescent="0.25">
      <c r="T77" s="166"/>
      <c r="U77" s="166"/>
      <c r="V77" s="124"/>
      <c r="W77" s="124"/>
      <c r="X77" s="124"/>
      <c r="Y77" s="129"/>
      <c r="Z77" s="129"/>
      <c r="AA77" s="129"/>
      <c r="AB77" s="129"/>
      <c r="AC77" s="129"/>
      <c r="AD77" s="129"/>
      <c r="AE77" s="129"/>
      <c r="AF77" s="129"/>
      <c r="AG77" s="129"/>
      <c r="AH77" s="129"/>
      <c r="AI77" s="129"/>
      <c r="AJ77" s="129"/>
      <c r="AK77" s="129"/>
      <c r="AL77" s="129"/>
      <c r="AM77" s="129"/>
      <c r="AN77" s="129"/>
      <c r="AO77" s="129"/>
      <c r="AP77" s="129"/>
      <c r="AQ77" s="129"/>
      <c r="AR77" s="129"/>
      <c r="AS77" s="129"/>
      <c r="AT77" s="129"/>
      <c r="AU77" s="129"/>
      <c r="AV77" s="129"/>
      <c r="AW77" s="129"/>
      <c r="AX77" s="129"/>
      <c r="AY77" s="129"/>
      <c r="AZ77" s="129"/>
      <c r="BA77" s="129"/>
    </row>
    <row r="78" spans="20:53" ht="15.75" x14ac:dyDescent="0.25">
      <c r="T78" s="166"/>
      <c r="U78" s="166"/>
      <c r="V78" s="124"/>
      <c r="W78" s="124"/>
      <c r="X78" s="124"/>
      <c r="Y78" s="129"/>
      <c r="Z78" s="129"/>
      <c r="AA78" s="129"/>
      <c r="AB78" s="129"/>
      <c r="AC78" s="129"/>
      <c r="AD78" s="129"/>
      <c r="AE78" s="129"/>
      <c r="AF78" s="129"/>
      <c r="AG78" s="129"/>
      <c r="AH78" s="129"/>
      <c r="AI78" s="129"/>
      <c r="AJ78" s="129"/>
      <c r="AK78" s="129"/>
      <c r="AL78" s="129"/>
      <c r="AM78" s="129"/>
      <c r="AN78" s="129"/>
      <c r="AO78" s="129"/>
      <c r="AP78" s="129"/>
      <c r="AQ78" s="129"/>
      <c r="AR78" s="129"/>
      <c r="AS78" s="129"/>
      <c r="AT78" s="129"/>
      <c r="AU78" s="129"/>
      <c r="AV78" s="129"/>
      <c r="AW78" s="129"/>
      <c r="AX78" s="129"/>
      <c r="AY78" s="129"/>
      <c r="AZ78" s="129"/>
      <c r="BA78" s="129"/>
    </row>
    <row r="79" spans="20:53" ht="15.75" x14ac:dyDescent="0.25">
      <c r="T79" s="166"/>
      <c r="U79" s="166"/>
      <c r="V79" s="124"/>
      <c r="W79" s="124"/>
      <c r="X79" s="124"/>
      <c r="Y79" s="129"/>
      <c r="Z79" s="129"/>
      <c r="AA79" s="129"/>
      <c r="AB79" s="129"/>
      <c r="AC79" s="129"/>
      <c r="AD79" s="129"/>
      <c r="AE79" s="129"/>
      <c r="AF79" s="129"/>
      <c r="AG79" s="129"/>
      <c r="AH79" s="129"/>
      <c r="AI79" s="129"/>
      <c r="AJ79" s="129"/>
      <c r="AK79" s="129"/>
      <c r="AL79" s="129"/>
      <c r="AM79" s="129"/>
      <c r="AN79" s="129"/>
      <c r="AO79" s="129"/>
      <c r="AP79" s="129"/>
      <c r="AQ79" s="129"/>
      <c r="AR79" s="129"/>
      <c r="AS79" s="129"/>
      <c r="AT79" s="129"/>
      <c r="AU79" s="129"/>
      <c r="AV79" s="129"/>
      <c r="AW79" s="129"/>
      <c r="AX79" s="129"/>
      <c r="AY79" s="129"/>
      <c r="AZ79" s="129"/>
      <c r="BA79" s="129"/>
    </row>
    <row r="80" spans="20:53" ht="15.75" x14ac:dyDescent="0.25">
      <c r="T80" s="166"/>
      <c r="U80" s="166"/>
      <c r="V80" s="124"/>
      <c r="W80" s="124"/>
      <c r="X80" s="124"/>
      <c r="Y80" s="129"/>
      <c r="Z80" s="129"/>
      <c r="AA80" s="129"/>
      <c r="AB80" s="129"/>
      <c r="AC80" s="129"/>
      <c r="AD80" s="129"/>
      <c r="AE80" s="129"/>
      <c r="AF80" s="129"/>
      <c r="AG80" s="129"/>
      <c r="AH80" s="129"/>
      <c r="AI80" s="129"/>
      <c r="AJ80" s="129"/>
      <c r="AK80" s="129"/>
      <c r="AL80" s="129"/>
      <c r="AM80" s="129"/>
      <c r="AN80" s="129"/>
      <c r="AO80" s="129"/>
      <c r="AP80" s="129"/>
      <c r="AQ80" s="129"/>
      <c r="AR80" s="129"/>
      <c r="AS80" s="129"/>
      <c r="AT80" s="129"/>
      <c r="AU80" s="129"/>
      <c r="AV80" s="129"/>
      <c r="AW80" s="129"/>
      <c r="AX80" s="129"/>
      <c r="AY80" s="129"/>
      <c r="AZ80" s="129"/>
      <c r="BA80" s="129"/>
    </row>
    <row r="81" spans="20:53" ht="15.75" x14ac:dyDescent="0.25">
      <c r="T81" s="149"/>
      <c r="U81" s="149"/>
      <c r="V81" s="124"/>
      <c r="W81" s="124"/>
      <c r="X81" s="124"/>
      <c r="Y81" s="129"/>
      <c r="Z81" s="129"/>
      <c r="AA81" s="129"/>
      <c r="AB81" s="129"/>
      <c r="AC81" s="129"/>
      <c r="AD81" s="129"/>
      <c r="AE81" s="129"/>
      <c r="AF81" s="129"/>
      <c r="AG81" s="129"/>
      <c r="AH81" s="129"/>
      <c r="AI81" s="129"/>
      <c r="AJ81" s="129"/>
      <c r="AK81" s="129"/>
      <c r="AL81" s="129"/>
      <c r="AM81" s="129"/>
      <c r="AN81" s="129"/>
      <c r="AO81" s="129"/>
      <c r="AP81" s="129"/>
      <c r="AQ81" s="129"/>
      <c r="AR81" s="129"/>
      <c r="AS81" s="129"/>
      <c r="AT81" s="129"/>
      <c r="AU81" s="129"/>
      <c r="AV81" s="129"/>
      <c r="AW81" s="129"/>
      <c r="AX81" s="129"/>
      <c r="AY81" s="129"/>
      <c r="AZ81" s="129"/>
      <c r="BA81" s="129"/>
    </row>
    <row r="82" spans="20:53" ht="15.75" x14ac:dyDescent="0.25">
      <c r="T82" s="149"/>
      <c r="U82" s="149"/>
      <c r="V82" s="124"/>
      <c r="W82" s="124"/>
      <c r="X82" s="124"/>
      <c r="Y82" s="129"/>
      <c r="Z82" s="129"/>
      <c r="AA82" s="129"/>
      <c r="AB82" s="129"/>
      <c r="AC82" s="129"/>
      <c r="AD82" s="129"/>
      <c r="AE82" s="129"/>
      <c r="AF82" s="129"/>
      <c r="AG82" s="129"/>
      <c r="AH82" s="129"/>
      <c r="AI82" s="129"/>
      <c r="AJ82" s="129"/>
      <c r="AK82" s="129"/>
      <c r="AL82" s="129"/>
      <c r="AM82" s="129"/>
      <c r="AN82" s="129"/>
      <c r="AO82" s="129"/>
      <c r="AP82" s="129"/>
      <c r="AQ82" s="129"/>
      <c r="AR82" s="129"/>
      <c r="AS82" s="129"/>
      <c r="AT82" s="129"/>
      <c r="AU82" s="129"/>
      <c r="AV82" s="129"/>
      <c r="AW82" s="129"/>
      <c r="AX82" s="129"/>
      <c r="AY82" s="129"/>
      <c r="AZ82" s="129"/>
      <c r="BA82" s="129"/>
    </row>
    <row r="83" spans="20:53" ht="15.75" x14ac:dyDescent="0.25">
      <c r="T83" s="149"/>
      <c r="U83" s="149"/>
      <c r="V83" s="124"/>
      <c r="W83" s="124"/>
      <c r="X83" s="123"/>
      <c r="Y83" s="129"/>
      <c r="Z83" s="129"/>
      <c r="AA83" s="129"/>
      <c r="AB83" s="129"/>
      <c r="AC83" s="129"/>
      <c r="AD83" s="129"/>
      <c r="AE83" s="129"/>
      <c r="AF83" s="129"/>
      <c r="AG83" s="129"/>
      <c r="AH83" s="129"/>
      <c r="AI83" s="129"/>
      <c r="AJ83" s="129"/>
      <c r="AK83" s="129"/>
      <c r="AL83" s="129"/>
      <c r="AM83" s="129"/>
      <c r="AN83" s="129"/>
      <c r="AO83" s="129"/>
      <c r="AP83" s="129"/>
      <c r="AQ83" s="129"/>
      <c r="AR83" s="129"/>
      <c r="AS83" s="129"/>
      <c r="AT83" s="129"/>
      <c r="AU83" s="129"/>
      <c r="AV83" s="129"/>
      <c r="AW83" s="129"/>
      <c r="AX83" s="129"/>
      <c r="AY83" s="129"/>
      <c r="AZ83" s="129"/>
      <c r="BA83" s="129"/>
    </row>
    <row r="84" spans="20:53" ht="15.75" x14ac:dyDescent="0.25">
      <c r="T84" s="149"/>
      <c r="U84" s="149"/>
      <c r="V84" s="124"/>
      <c r="W84" s="124"/>
      <c r="X84" s="123"/>
      <c r="Y84" s="129"/>
      <c r="Z84" s="129"/>
      <c r="AA84" s="129"/>
      <c r="AB84" s="129"/>
      <c r="AC84" s="129"/>
      <c r="AD84" s="129"/>
      <c r="AE84" s="129"/>
      <c r="AF84" s="129"/>
      <c r="AG84" s="129"/>
      <c r="AH84" s="129"/>
      <c r="AI84" s="129"/>
      <c r="AJ84" s="129"/>
      <c r="AK84" s="129"/>
      <c r="AL84" s="129"/>
      <c r="AM84" s="129"/>
      <c r="AN84" s="129"/>
      <c r="AO84" s="129"/>
      <c r="AP84" s="129"/>
      <c r="AQ84" s="129"/>
      <c r="AR84" s="129"/>
      <c r="AS84" s="129"/>
      <c r="AT84" s="129"/>
      <c r="AU84" s="129"/>
      <c r="AV84" s="129"/>
      <c r="AW84" s="129"/>
      <c r="AX84" s="129"/>
      <c r="AY84" s="129"/>
      <c r="AZ84" s="129"/>
      <c r="BA84" s="129"/>
    </row>
    <row r="85" spans="20:53" ht="15.75" x14ac:dyDescent="0.25">
      <c r="T85" s="149"/>
      <c r="U85" s="149"/>
      <c r="V85" s="124"/>
      <c r="W85" s="124"/>
      <c r="X85" s="123"/>
      <c r="Y85" s="129"/>
      <c r="Z85" s="129"/>
      <c r="AA85" s="129"/>
      <c r="AB85" s="129"/>
      <c r="AC85" s="129"/>
      <c r="AD85" s="129"/>
      <c r="AE85" s="129"/>
      <c r="AF85" s="129"/>
      <c r="AG85" s="129"/>
      <c r="AH85" s="129"/>
      <c r="AI85" s="129"/>
      <c r="AJ85" s="129"/>
      <c r="AK85" s="129"/>
      <c r="AL85" s="129"/>
      <c r="AM85" s="129"/>
      <c r="AN85" s="129"/>
      <c r="AO85" s="129"/>
      <c r="AP85" s="129"/>
      <c r="AQ85" s="129"/>
      <c r="AR85" s="129"/>
      <c r="AS85" s="129"/>
      <c r="AT85" s="129"/>
      <c r="AU85" s="129"/>
      <c r="AV85" s="129"/>
      <c r="AW85" s="129"/>
      <c r="AX85" s="129"/>
      <c r="AY85" s="129"/>
      <c r="AZ85" s="129"/>
      <c r="BA85" s="129"/>
    </row>
    <row r="86" spans="20:53" ht="15.75" x14ac:dyDescent="0.25">
      <c r="T86" s="166"/>
      <c r="U86" s="166"/>
      <c r="V86" s="124"/>
      <c r="W86" s="124"/>
      <c r="X86" s="123"/>
      <c r="Y86" s="129"/>
      <c r="Z86" s="129"/>
      <c r="AA86" s="129"/>
      <c r="AB86" s="129"/>
      <c r="AC86" s="129"/>
      <c r="AD86" s="129"/>
      <c r="AE86" s="129"/>
      <c r="AF86" s="129"/>
      <c r="AG86" s="129"/>
      <c r="AH86" s="129"/>
      <c r="AI86" s="129"/>
      <c r="AJ86" s="129"/>
      <c r="AK86" s="129"/>
      <c r="AL86" s="129"/>
      <c r="AM86" s="129"/>
      <c r="AN86" s="129"/>
      <c r="AO86" s="129"/>
      <c r="AP86" s="129"/>
      <c r="AQ86" s="129"/>
      <c r="AR86" s="129"/>
      <c r="AS86" s="129"/>
      <c r="AT86" s="129"/>
      <c r="AU86" s="129"/>
      <c r="AV86" s="129"/>
      <c r="AW86" s="129"/>
      <c r="AX86" s="129"/>
      <c r="AY86" s="129"/>
      <c r="AZ86" s="129"/>
      <c r="BA86" s="129"/>
    </row>
    <row r="87" spans="20:53" ht="15.75" x14ac:dyDescent="0.25">
      <c r="T87" s="15"/>
      <c r="U87" s="15"/>
      <c r="V87" s="124"/>
      <c r="W87" s="124"/>
      <c r="X87" s="123"/>
      <c r="Y87" s="129"/>
      <c r="Z87" s="129"/>
      <c r="AA87" s="129"/>
      <c r="AB87" s="129"/>
      <c r="AC87" s="129"/>
      <c r="AD87" s="129"/>
      <c r="AE87" s="129"/>
      <c r="AF87" s="129"/>
      <c r="AG87" s="129"/>
      <c r="AH87" s="129"/>
      <c r="AI87" s="129"/>
      <c r="AJ87" s="129"/>
      <c r="AK87" s="129"/>
      <c r="AL87" s="129"/>
      <c r="AM87" s="129"/>
      <c r="AN87" s="129"/>
      <c r="AO87" s="129"/>
      <c r="AP87" s="129"/>
      <c r="AQ87" s="129"/>
      <c r="AR87" s="129"/>
      <c r="AS87" s="129"/>
      <c r="AT87" s="129"/>
      <c r="AU87" s="129"/>
      <c r="AV87" s="129"/>
      <c r="AW87" s="129"/>
      <c r="AX87" s="129"/>
      <c r="AY87" s="129"/>
      <c r="AZ87" s="129"/>
      <c r="BA87" s="129"/>
    </row>
    <row r="88" spans="20:53" ht="15.75" x14ac:dyDescent="0.25">
      <c r="T88" s="15"/>
      <c r="U88" s="15"/>
      <c r="V88" s="124"/>
      <c r="W88" s="124"/>
      <c r="X88" s="124"/>
      <c r="Y88" s="240"/>
      <c r="Z88" s="240"/>
      <c r="AA88" s="240"/>
      <c r="AB88" s="240"/>
      <c r="AC88" s="240"/>
      <c r="AD88" s="240"/>
      <c r="AE88" s="240"/>
      <c r="AF88" s="240"/>
      <c r="AG88" s="240"/>
      <c r="AH88" s="240"/>
      <c r="AI88" s="240"/>
      <c r="AJ88" s="240"/>
      <c r="AK88" s="240"/>
      <c r="AL88" s="240"/>
      <c r="AM88" s="240"/>
      <c r="AN88" s="240"/>
      <c r="AO88" s="240"/>
      <c r="AP88" s="240"/>
      <c r="AQ88" s="240"/>
      <c r="AR88" s="240"/>
      <c r="AS88" s="240"/>
      <c r="AT88" s="240"/>
      <c r="AU88" s="240"/>
      <c r="AV88" s="240"/>
      <c r="AW88" s="240"/>
      <c r="AX88" s="240"/>
      <c r="AY88" s="240"/>
      <c r="AZ88" s="240"/>
      <c r="BA88" s="240"/>
    </row>
    <row r="89" spans="20:53" ht="15.75" x14ac:dyDescent="0.25">
      <c r="T89" s="15"/>
      <c r="U89" s="15"/>
      <c r="V89" s="124"/>
      <c r="W89" s="124"/>
      <c r="X89" s="123"/>
      <c r="Y89" s="129"/>
      <c r="Z89" s="129"/>
      <c r="AA89" s="129"/>
      <c r="AB89" s="129"/>
      <c r="AC89" s="129"/>
      <c r="AD89" s="129"/>
      <c r="AE89" s="129"/>
      <c r="AF89" s="129"/>
      <c r="AG89" s="129"/>
      <c r="AH89" s="129"/>
      <c r="AI89" s="129"/>
      <c r="AJ89" s="129"/>
      <c r="AK89" s="129"/>
      <c r="AL89" s="129"/>
      <c r="AM89" s="129"/>
      <c r="AN89" s="129"/>
      <c r="AO89" s="129"/>
      <c r="AP89" s="129"/>
      <c r="AQ89" s="129"/>
      <c r="AR89" s="129"/>
      <c r="AS89" s="129"/>
      <c r="AT89" s="129"/>
      <c r="AU89" s="129"/>
      <c r="AV89" s="129"/>
      <c r="AW89" s="129"/>
      <c r="AX89" s="129"/>
      <c r="AY89" s="129"/>
      <c r="AZ89" s="129"/>
      <c r="BA89" s="129"/>
    </row>
    <row r="90" spans="20:53" ht="15.75" x14ac:dyDescent="0.25">
      <c r="T90" s="166"/>
      <c r="U90" s="166"/>
      <c r="Y90" s="520"/>
      <c r="Z90" s="520"/>
      <c r="AA90" s="520"/>
      <c r="AB90" s="520"/>
      <c r="AC90" s="520"/>
      <c r="AD90" s="520"/>
      <c r="AE90" s="520"/>
      <c r="AF90" s="520"/>
      <c r="AG90" s="520"/>
      <c r="AH90" s="520"/>
      <c r="AI90" s="520"/>
      <c r="AJ90" s="520"/>
      <c r="AK90" s="520"/>
      <c r="AL90" s="520"/>
      <c r="AM90" s="520"/>
      <c r="AN90" s="520"/>
      <c r="AO90" s="520"/>
      <c r="AP90" s="520"/>
      <c r="AQ90" s="520"/>
      <c r="AR90" s="520"/>
      <c r="AS90" s="520"/>
      <c r="AT90" s="520"/>
      <c r="AU90" s="520"/>
      <c r="AV90" s="520"/>
      <c r="AW90" s="520"/>
      <c r="AX90" s="520"/>
      <c r="AY90" s="520"/>
      <c r="AZ90" s="520"/>
      <c r="BA90" s="520"/>
    </row>
    <row r="91" spans="20:53" ht="15.75" x14ac:dyDescent="0.25">
      <c r="T91" s="166"/>
      <c r="U91" s="166"/>
      <c r="Y91" s="520"/>
      <c r="Z91" s="520"/>
      <c r="AA91" s="520"/>
      <c r="AB91" s="520"/>
      <c r="AC91" s="520"/>
      <c r="AD91" s="520"/>
      <c r="AE91" s="520"/>
      <c r="AF91" s="520"/>
      <c r="AG91" s="520"/>
      <c r="AH91" s="520"/>
      <c r="AI91" s="520"/>
      <c r="AJ91" s="520"/>
      <c r="AK91" s="520"/>
      <c r="AL91" s="520"/>
      <c r="AM91" s="520"/>
      <c r="AN91" s="520"/>
      <c r="AO91" s="520"/>
      <c r="AP91" s="520"/>
      <c r="AQ91" s="520"/>
      <c r="AR91" s="520"/>
      <c r="AS91" s="520"/>
      <c r="AT91" s="520"/>
      <c r="AU91" s="520"/>
      <c r="AV91" s="520"/>
      <c r="AW91" s="520"/>
      <c r="AX91" s="520"/>
      <c r="AY91" s="520"/>
      <c r="AZ91" s="520"/>
      <c r="BA91" s="520"/>
    </row>
    <row r="93" spans="20:53" ht="15.75" x14ac:dyDescent="0.25">
      <c r="X93" s="120"/>
      <c r="Y93" s="121"/>
      <c r="Z93" s="121"/>
      <c r="AA93" s="121"/>
      <c r="AB93" s="121"/>
      <c r="AC93" s="121"/>
      <c r="AD93" s="121"/>
      <c r="AE93" s="121"/>
      <c r="AF93" s="121"/>
      <c r="AG93" s="121"/>
      <c r="AH93" s="121"/>
      <c r="AI93" s="121"/>
      <c r="AJ93" s="121"/>
      <c r="AK93" s="121"/>
      <c r="AL93" s="121"/>
      <c r="AM93" s="121"/>
      <c r="AN93" s="121"/>
      <c r="AO93" s="121"/>
      <c r="AP93" s="121"/>
      <c r="AQ93" s="121"/>
      <c r="AR93" s="121"/>
      <c r="AS93" s="121"/>
      <c r="AT93" s="121"/>
      <c r="AU93" s="121"/>
      <c r="AV93" s="121"/>
      <c r="AW93" s="121"/>
      <c r="AX93" s="121"/>
      <c r="AY93" s="121"/>
      <c r="AZ93" s="121"/>
      <c r="BA93" s="121"/>
    </row>
    <row r="94" spans="20:53" ht="15.75" x14ac:dyDescent="0.25">
      <c r="X94" s="120"/>
      <c r="Y94" s="60"/>
      <c r="Z94" s="60"/>
      <c r="AA94" s="60"/>
      <c r="AB94" s="60"/>
      <c r="AC94" s="60"/>
      <c r="AD94" s="60"/>
      <c r="AE94" s="60"/>
      <c r="AF94" s="60"/>
      <c r="AG94" s="60"/>
      <c r="AH94" s="60"/>
      <c r="AI94" s="60"/>
      <c r="AJ94" s="60"/>
      <c r="AK94" s="60"/>
      <c r="AL94" s="60"/>
      <c r="AM94" s="60"/>
      <c r="AN94" s="60"/>
      <c r="AO94" s="60"/>
      <c r="AP94" s="60"/>
      <c r="AQ94" s="60"/>
      <c r="AR94" s="60"/>
      <c r="AS94" s="60"/>
      <c r="AT94" s="60"/>
      <c r="AU94" s="60"/>
      <c r="AV94" s="60"/>
      <c r="AW94" s="60"/>
      <c r="AX94" s="60"/>
      <c r="AY94" s="60"/>
      <c r="AZ94" s="60"/>
      <c r="BA94" s="60"/>
    </row>
    <row r="95" spans="20:53" ht="15.75" x14ac:dyDescent="0.25">
      <c r="X95" s="120"/>
      <c r="Y95" s="60"/>
      <c r="Z95" s="60"/>
      <c r="AA95" s="60"/>
      <c r="AB95" s="60"/>
      <c r="AC95" s="60"/>
      <c r="AD95" s="60"/>
      <c r="AE95" s="60"/>
      <c r="AF95" s="60"/>
      <c r="AG95" s="60"/>
      <c r="AH95" s="60"/>
      <c r="AI95" s="60"/>
      <c r="AJ95" s="60"/>
      <c r="AK95" s="60"/>
      <c r="AL95" s="60"/>
      <c r="AM95" s="60"/>
      <c r="AN95" s="60"/>
      <c r="AO95" s="60"/>
      <c r="AP95" s="60"/>
      <c r="AQ95" s="60"/>
      <c r="AR95" s="60"/>
      <c r="AS95" s="60"/>
      <c r="AT95" s="60"/>
      <c r="AU95" s="60"/>
      <c r="AV95" s="60"/>
      <c r="AW95" s="60"/>
      <c r="AX95" s="60"/>
      <c r="AY95" s="60"/>
      <c r="AZ95" s="60"/>
      <c r="BA95" s="60"/>
    </row>
    <row r="96" spans="20:53" ht="15.75" x14ac:dyDescent="0.25">
      <c r="X96" s="120"/>
      <c r="Y96" s="60"/>
      <c r="Z96" s="60"/>
      <c r="AA96" s="60"/>
      <c r="AB96" s="60"/>
      <c r="AC96" s="60"/>
      <c r="AD96" s="60"/>
      <c r="AE96" s="60"/>
      <c r="AF96" s="60"/>
      <c r="AG96" s="60"/>
      <c r="AH96" s="60"/>
      <c r="AI96" s="60"/>
      <c r="AJ96" s="60"/>
      <c r="AK96" s="60"/>
      <c r="AL96" s="60"/>
      <c r="AM96" s="60"/>
      <c r="AN96" s="60"/>
      <c r="AO96" s="60"/>
      <c r="AP96" s="60"/>
      <c r="AQ96" s="60"/>
      <c r="AR96" s="60"/>
      <c r="AS96" s="60"/>
      <c r="AT96" s="60"/>
      <c r="AU96" s="60"/>
      <c r="AV96" s="60"/>
      <c r="AW96" s="60"/>
      <c r="AX96" s="60"/>
      <c r="AY96" s="60"/>
      <c r="AZ96" s="60"/>
      <c r="BA96" s="60"/>
    </row>
    <row r="97" spans="20:53" ht="15.75" x14ac:dyDescent="0.25">
      <c r="X97" s="120"/>
      <c r="Y97" s="519"/>
      <c r="Z97" s="519"/>
      <c r="AA97" s="519"/>
      <c r="AB97" s="519"/>
      <c r="AC97" s="519"/>
      <c r="AD97" s="519"/>
      <c r="AE97" s="519"/>
      <c r="AF97" s="519"/>
      <c r="AG97" s="519"/>
      <c r="AH97" s="519"/>
      <c r="AI97" s="519"/>
      <c r="AJ97" s="519"/>
      <c r="AK97" s="519"/>
      <c r="AL97" s="519"/>
      <c r="AM97" s="519"/>
      <c r="AN97" s="519"/>
      <c r="AO97" s="519"/>
      <c r="AP97" s="519"/>
      <c r="AQ97" s="519"/>
      <c r="AR97" s="519"/>
      <c r="AS97" s="519"/>
      <c r="AT97" s="519"/>
      <c r="AU97" s="519"/>
      <c r="AV97" s="519"/>
      <c r="AW97" s="519"/>
      <c r="AX97" s="519"/>
      <c r="AY97" s="519"/>
      <c r="AZ97" s="519"/>
      <c r="BA97" s="519"/>
    </row>
    <row r="98" spans="20:53" ht="15.75" x14ac:dyDescent="0.25">
      <c r="T98" s="166"/>
      <c r="U98" s="166"/>
      <c r="W98" s="124"/>
      <c r="X98" s="120"/>
      <c r="Y98" s="519"/>
      <c r="Z98" s="519"/>
      <c r="AA98" s="519"/>
      <c r="AB98" s="519"/>
      <c r="AC98" s="519"/>
      <c r="AD98" s="519"/>
      <c r="AE98" s="519"/>
      <c r="AF98" s="519"/>
      <c r="AG98" s="519"/>
      <c r="AH98" s="519"/>
      <c r="AI98" s="519"/>
      <c r="AJ98" s="519"/>
      <c r="AK98" s="519"/>
      <c r="AL98" s="519"/>
      <c r="AM98" s="519"/>
      <c r="AN98" s="519"/>
      <c r="AO98" s="519"/>
      <c r="AP98" s="519"/>
      <c r="AQ98" s="519"/>
      <c r="AR98" s="519"/>
      <c r="AS98" s="519"/>
      <c r="AT98" s="519"/>
      <c r="AU98" s="519"/>
      <c r="AV98" s="519"/>
      <c r="AW98" s="519"/>
      <c r="AX98" s="519"/>
      <c r="AY98" s="519"/>
      <c r="AZ98" s="519"/>
      <c r="BA98" s="519"/>
    </row>
    <row r="99" spans="20:53" ht="15.75" x14ac:dyDescent="0.25">
      <c r="T99" s="166"/>
      <c r="U99" s="166"/>
      <c r="W99" s="124"/>
      <c r="X99" s="120"/>
      <c r="Y99" s="519"/>
      <c r="Z99" s="519"/>
      <c r="AA99" s="519"/>
      <c r="AB99" s="519"/>
      <c r="AC99" s="519"/>
      <c r="AD99" s="519"/>
      <c r="AE99" s="519"/>
      <c r="AF99" s="519"/>
      <c r="AG99" s="519"/>
      <c r="AH99" s="519"/>
      <c r="AI99" s="519"/>
      <c r="AJ99" s="519"/>
      <c r="AK99" s="519"/>
      <c r="AL99" s="519"/>
      <c r="AM99" s="519"/>
      <c r="AN99" s="519"/>
      <c r="AO99" s="519"/>
      <c r="AP99" s="519"/>
      <c r="AQ99" s="519"/>
      <c r="AR99" s="519"/>
      <c r="AS99" s="519"/>
      <c r="AT99" s="519"/>
      <c r="AU99" s="519"/>
      <c r="AV99" s="519"/>
      <c r="AW99" s="519"/>
      <c r="AX99" s="519"/>
      <c r="AY99" s="519"/>
      <c r="AZ99" s="519"/>
      <c r="BA99" s="519"/>
    </row>
    <row r="100" spans="20:53" ht="15.75" x14ac:dyDescent="0.25">
      <c r="X100" s="120"/>
      <c r="Y100" s="60"/>
      <c r="Z100" s="60"/>
      <c r="AA100" s="60"/>
      <c r="AB100" s="60"/>
      <c r="AC100" s="60"/>
      <c r="AD100" s="60"/>
      <c r="AE100" s="60"/>
      <c r="AF100" s="60"/>
      <c r="AG100" s="60"/>
      <c r="AH100" s="60"/>
      <c r="AI100" s="60"/>
      <c r="AJ100" s="60"/>
      <c r="AK100" s="60"/>
      <c r="AL100" s="60"/>
      <c r="AM100" s="60"/>
      <c r="AN100" s="60"/>
      <c r="AO100" s="60"/>
      <c r="AP100" s="60"/>
      <c r="AQ100" s="60"/>
      <c r="AR100" s="60"/>
      <c r="AS100" s="60"/>
      <c r="AT100" s="60"/>
      <c r="AU100" s="60"/>
      <c r="AV100" s="60"/>
      <c r="AW100" s="60"/>
      <c r="AX100" s="60"/>
      <c r="AY100" s="60"/>
      <c r="AZ100" s="60"/>
      <c r="BA100" s="60"/>
    </row>
    <row r="101" spans="20:53" ht="15.75" x14ac:dyDescent="0.25">
      <c r="X101" s="120"/>
      <c r="Y101" s="519"/>
      <c r="Z101" s="519"/>
      <c r="AA101" s="519"/>
      <c r="AB101" s="519"/>
      <c r="AC101" s="519"/>
      <c r="AD101" s="519"/>
      <c r="AE101" s="519"/>
      <c r="AF101" s="519"/>
      <c r="AG101" s="519"/>
      <c r="AH101" s="519"/>
      <c r="AI101" s="519"/>
      <c r="AJ101" s="519"/>
      <c r="AK101" s="519"/>
      <c r="AL101" s="519"/>
      <c r="AM101" s="519"/>
      <c r="AN101" s="519"/>
      <c r="AO101" s="519"/>
      <c r="AP101" s="519"/>
      <c r="AQ101" s="519"/>
      <c r="AR101" s="519"/>
      <c r="AS101" s="519"/>
      <c r="AT101" s="519"/>
      <c r="AU101" s="519"/>
      <c r="AV101" s="519"/>
      <c r="AW101" s="519"/>
      <c r="AX101" s="519"/>
      <c r="AY101" s="519"/>
      <c r="AZ101" s="519"/>
      <c r="BA101" s="519"/>
    </row>
    <row r="102" spans="20:53" ht="15.75" x14ac:dyDescent="0.25">
      <c r="X102" s="120"/>
      <c r="Y102" s="519"/>
      <c r="Z102" s="519"/>
      <c r="AA102" s="519"/>
      <c r="AB102" s="519"/>
      <c r="AC102" s="519"/>
      <c r="AD102" s="519"/>
      <c r="AE102" s="519"/>
      <c r="AF102" s="519"/>
      <c r="AG102" s="519"/>
      <c r="AH102" s="519"/>
      <c r="AI102" s="519"/>
      <c r="AJ102" s="519"/>
      <c r="AK102" s="519"/>
      <c r="AL102" s="519"/>
      <c r="AM102" s="519"/>
      <c r="AN102" s="519"/>
      <c r="AO102" s="519"/>
      <c r="AP102" s="519"/>
      <c r="AQ102" s="519"/>
      <c r="AR102" s="519"/>
      <c r="AS102" s="519"/>
      <c r="AT102" s="519"/>
      <c r="AU102" s="519"/>
      <c r="AV102" s="519"/>
      <c r="AW102" s="519"/>
      <c r="AX102" s="519"/>
      <c r="AY102" s="519"/>
      <c r="AZ102" s="519"/>
      <c r="BA102" s="519"/>
    </row>
    <row r="103" spans="20:53" ht="15.75" x14ac:dyDescent="0.25">
      <c r="X103" s="120"/>
      <c r="Y103" s="519"/>
      <c r="Z103" s="519"/>
      <c r="AA103" s="519"/>
      <c r="AB103" s="519"/>
      <c r="AC103" s="519"/>
      <c r="AD103" s="519"/>
      <c r="AE103" s="519"/>
      <c r="AF103" s="519"/>
      <c r="AG103" s="519"/>
      <c r="AH103" s="519"/>
      <c r="AI103" s="519"/>
      <c r="AJ103" s="519"/>
      <c r="AK103" s="519"/>
      <c r="AL103" s="519"/>
      <c r="AM103" s="519"/>
      <c r="AN103" s="519"/>
      <c r="AO103" s="519"/>
      <c r="AP103" s="519"/>
      <c r="AQ103" s="519"/>
      <c r="AR103" s="519"/>
      <c r="AS103" s="519"/>
      <c r="AT103" s="519"/>
      <c r="AU103" s="519"/>
      <c r="AV103" s="519"/>
      <c r="AW103" s="519"/>
      <c r="AX103" s="519"/>
      <c r="AY103" s="519"/>
      <c r="AZ103" s="519"/>
      <c r="BA103" s="519"/>
    </row>
    <row r="104" spans="20:53" ht="15.75" x14ac:dyDescent="0.25">
      <c r="X104" s="120"/>
      <c r="Y104" s="519"/>
      <c r="Z104" s="519"/>
      <c r="AA104" s="519"/>
      <c r="AB104" s="519"/>
      <c r="AC104" s="519"/>
      <c r="AD104" s="519"/>
      <c r="AE104" s="519"/>
      <c r="AF104" s="519"/>
      <c r="AG104" s="519"/>
      <c r="AH104" s="519"/>
      <c r="AI104" s="519"/>
      <c r="AJ104" s="519"/>
      <c r="AK104" s="519"/>
      <c r="AL104" s="519"/>
      <c r="AM104" s="519"/>
      <c r="AN104" s="519"/>
      <c r="AO104" s="519"/>
      <c r="AP104" s="519"/>
      <c r="AQ104" s="519"/>
      <c r="AR104" s="519"/>
      <c r="AS104" s="519"/>
      <c r="AT104" s="519"/>
      <c r="AU104" s="519"/>
      <c r="AV104" s="519"/>
      <c r="AW104" s="519"/>
      <c r="AX104" s="519"/>
      <c r="AY104" s="519"/>
      <c r="AZ104" s="519"/>
      <c r="BA104" s="519"/>
    </row>
    <row r="105" spans="20:53" ht="15.75" x14ac:dyDescent="0.25">
      <c r="X105" s="120"/>
      <c r="Y105" s="519"/>
      <c r="Z105" s="519"/>
      <c r="AA105" s="519"/>
      <c r="AB105" s="519"/>
      <c r="AC105" s="519"/>
      <c r="AD105" s="519"/>
      <c r="AE105" s="519"/>
      <c r="AF105" s="519"/>
      <c r="AG105" s="519"/>
      <c r="AH105" s="519"/>
      <c r="AI105" s="519"/>
      <c r="AJ105" s="519"/>
      <c r="AK105" s="519"/>
      <c r="AL105" s="519"/>
      <c r="AM105" s="519"/>
      <c r="AN105" s="519"/>
      <c r="AO105" s="519"/>
      <c r="AP105" s="519"/>
      <c r="AQ105" s="519"/>
      <c r="AR105" s="519"/>
      <c r="AS105" s="519"/>
      <c r="AT105" s="519"/>
      <c r="AU105" s="519"/>
      <c r="AV105" s="519"/>
      <c r="AW105" s="519"/>
      <c r="AX105" s="519"/>
      <c r="AY105" s="519"/>
      <c r="AZ105" s="519"/>
      <c r="BA105" s="519"/>
    </row>
    <row r="106" spans="20:53" ht="15.75" x14ac:dyDescent="0.25">
      <c r="X106" s="120"/>
      <c r="Y106" s="519"/>
      <c r="Z106" s="519"/>
      <c r="AA106" s="519"/>
      <c r="AB106" s="519"/>
      <c r="AC106" s="519"/>
      <c r="AD106" s="519"/>
      <c r="AE106" s="519"/>
      <c r="AF106" s="519"/>
      <c r="AG106" s="519"/>
      <c r="AH106" s="519"/>
      <c r="AI106" s="519"/>
      <c r="AJ106" s="519"/>
      <c r="AK106" s="519"/>
      <c r="AL106" s="519"/>
      <c r="AM106" s="519"/>
      <c r="AN106" s="519"/>
      <c r="AO106" s="519"/>
      <c r="AP106" s="519"/>
      <c r="AQ106" s="519"/>
      <c r="AR106" s="519"/>
      <c r="AS106" s="519"/>
      <c r="AT106" s="519"/>
      <c r="AU106" s="519"/>
      <c r="AV106" s="519"/>
      <c r="AW106" s="519"/>
      <c r="AX106" s="519"/>
      <c r="AY106" s="519"/>
      <c r="AZ106" s="519"/>
      <c r="BA106" s="519"/>
    </row>
    <row r="107" spans="20:53" ht="15.75" x14ac:dyDescent="0.25">
      <c r="X107" s="120"/>
      <c r="Y107" s="519"/>
      <c r="Z107" s="519"/>
      <c r="AA107" s="519"/>
      <c r="AB107" s="519"/>
      <c r="AC107" s="519"/>
      <c r="AD107" s="519"/>
      <c r="AE107" s="519"/>
      <c r="AF107" s="519"/>
      <c r="AG107" s="519"/>
      <c r="AH107" s="519"/>
      <c r="AI107" s="519"/>
      <c r="AJ107" s="519"/>
      <c r="AK107" s="519"/>
      <c r="AL107" s="519"/>
      <c r="AM107" s="519"/>
      <c r="AN107" s="519"/>
      <c r="AO107" s="519"/>
      <c r="AP107" s="519"/>
      <c r="AQ107" s="519"/>
      <c r="AR107" s="519"/>
      <c r="AS107" s="519"/>
      <c r="AT107" s="519"/>
      <c r="AU107" s="519"/>
      <c r="AV107" s="519"/>
      <c r="AW107" s="519"/>
      <c r="AX107" s="519"/>
      <c r="AY107" s="519"/>
      <c r="AZ107" s="519"/>
      <c r="BA107" s="519"/>
    </row>
    <row r="108" spans="20:53" ht="15.75" x14ac:dyDescent="0.25">
      <c r="X108" s="120"/>
      <c r="Y108" s="519"/>
      <c r="Z108" s="519"/>
      <c r="AA108" s="519"/>
      <c r="AB108" s="519"/>
      <c r="AC108" s="519"/>
      <c r="AD108" s="519"/>
      <c r="AE108" s="519"/>
      <c r="AF108" s="519"/>
      <c r="AG108" s="519"/>
      <c r="AH108" s="519"/>
      <c r="AI108" s="519"/>
      <c r="AJ108" s="519"/>
      <c r="AK108" s="519"/>
      <c r="AL108" s="519"/>
      <c r="AM108" s="519"/>
      <c r="AN108" s="519"/>
      <c r="AO108" s="519"/>
      <c r="AP108" s="519"/>
      <c r="AQ108" s="519"/>
      <c r="AR108" s="519"/>
      <c r="AS108" s="519"/>
      <c r="AT108" s="519"/>
      <c r="AU108" s="519"/>
      <c r="AV108" s="519"/>
      <c r="AW108" s="519"/>
      <c r="AX108" s="519"/>
      <c r="AY108" s="519"/>
      <c r="AZ108" s="519"/>
      <c r="BA108" s="519"/>
    </row>
    <row r="109" spans="20:53" ht="15.75" x14ac:dyDescent="0.25">
      <c r="X109" s="120"/>
      <c r="Y109" s="519"/>
      <c r="Z109" s="519"/>
      <c r="AA109" s="519"/>
      <c r="AB109" s="519"/>
      <c r="AC109" s="519"/>
      <c r="AD109" s="519"/>
      <c r="AE109" s="519"/>
      <c r="AF109" s="519"/>
      <c r="AG109" s="519"/>
      <c r="AH109" s="519"/>
      <c r="AI109" s="519"/>
      <c r="AJ109" s="519"/>
      <c r="AK109" s="519"/>
      <c r="AL109" s="519"/>
      <c r="AM109" s="519"/>
      <c r="AN109" s="519"/>
      <c r="AO109" s="519"/>
      <c r="AP109" s="519"/>
      <c r="AQ109" s="519"/>
      <c r="AR109" s="519"/>
      <c r="AS109" s="519"/>
      <c r="AT109" s="519"/>
      <c r="AU109" s="519"/>
      <c r="AV109" s="519"/>
      <c r="AW109" s="519"/>
      <c r="AX109" s="519"/>
      <c r="AY109" s="519"/>
      <c r="AZ109" s="519"/>
      <c r="BA109" s="519"/>
    </row>
    <row r="110" spans="20:53" ht="15.75" x14ac:dyDescent="0.25">
      <c r="X110" s="120"/>
      <c r="Y110" s="519"/>
      <c r="Z110" s="519"/>
      <c r="AA110" s="519"/>
      <c r="AB110" s="519"/>
      <c r="AC110" s="519"/>
      <c r="AD110" s="519"/>
      <c r="AE110" s="519"/>
      <c r="AF110" s="519"/>
      <c r="AG110" s="519"/>
      <c r="AH110" s="519"/>
      <c r="AI110" s="519"/>
      <c r="AJ110" s="519"/>
      <c r="AK110" s="519"/>
      <c r="AL110" s="519"/>
      <c r="AM110" s="519"/>
      <c r="AN110" s="519"/>
      <c r="AO110" s="519"/>
      <c r="AP110" s="519"/>
      <c r="AQ110" s="519"/>
      <c r="AR110" s="519"/>
      <c r="AS110" s="519"/>
      <c r="AT110" s="519"/>
      <c r="AU110" s="519"/>
      <c r="AV110" s="519"/>
      <c r="AW110" s="519"/>
      <c r="AX110" s="519"/>
      <c r="AY110" s="519"/>
      <c r="AZ110" s="519"/>
      <c r="BA110" s="519"/>
    </row>
    <row r="111" spans="20:53" ht="15.75" x14ac:dyDescent="0.25">
      <c r="X111" s="120"/>
      <c r="Y111" s="519"/>
      <c r="Z111" s="519"/>
      <c r="AA111" s="519"/>
      <c r="AB111" s="519"/>
      <c r="AC111" s="519"/>
      <c r="AD111" s="519"/>
      <c r="AE111" s="519"/>
      <c r="AF111" s="519"/>
      <c r="AG111" s="519"/>
      <c r="AH111" s="519"/>
      <c r="AI111" s="519"/>
      <c r="AJ111" s="519"/>
      <c r="AK111" s="519"/>
      <c r="AL111" s="519"/>
      <c r="AM111" s="519"/>
      <c r="AN111" s="519"/>
      <c r="AO111" s="519"/>
      <c r="AP111" s="519"/>
      <c r="AQ111" s="519"/>
      <c r="AR111" s="519"/>
      <c r="AS111" s="519"/>
      <c r="AT111" s="519"/>
      <c r="AU111" s="519"/>
      <c r="AV111" s="519"/>
      <c r="AW111" s="519"/>
      <c r="AX111" s="519"/>
      <c r="AY111" s="519"/>
      <c r="AZ111" s="519"/>
      <c r="BA111" s="519"/>
    </row>
    <row r="112" spans="20:53" ht="15.75" x14ac:dyDescent="0.25">
      <c r="X112" s="120"/>
      <c r="Y112" s="519"/>
      <c r="Z112" s="519"/>
      <c r="AA112" s="519"/>
      <c r="AB112" s="519"/>
      <c r="AC112" s="519"/>
      <c r="AD112" s="519"/>
      <c r="AE112" s="519"/>
      <c r="AF112" s="519"/>
      <c r="AG112" s="519"/>
      <c r="AH112" s="519"/>
      <c r="AI112" s="519"/>
      <c r="AJ112" s="519"/>
      <c r="AK112" s="519"/>
      <c r="AL112" s="519"/>
      <c r="AM112" s="519"/>
      <c r="AN112" s="519"/>
      <c r="AO112" s="519"/>
      <c r="AP112" s="519"/>
      <c r="AQ112" s="519"/>
      <c r="AR112" s="519"/>
      <c r="AS112" s="519"/>
      <c r="AT112" s="519"/>
      <c r="AU112" s="519"/>
      <c r="AV112" s="519"/>
      <c r="AW112" s="519"/>
      <c r="AX112" s="519"/>
      <c r="AY112" s="519"/>
      <c r="AZ112" s="519"/>
      <c r="BA112" s="519"/>
    </row>
    <row r="113" spans="24:53" ht="15.75" x14ac:dyDescent="0.25">
      <c r="X113" s="120"/>
      <c r="Y113" s="519"/>
      <c r="Z113" s="519"/>
      <c r="AA113" s="519"/>
      <c r="AB113" s="519"/>
      <c r="AC113" s="519"/>
      <c r="AD113" s="519"/>
      <c r="AE113" s="519"/>
      <c r="AF113" s="519"/>
      <c r="AG113" s="519"/>
      <c r="AH113" s="519"/>
      <c r="AI113" s="519"/>
      <c r="AJ113" s="519"/>
      <c r="AK113" s="519"/>
      <c r="AL113" s="519"/>
      <c r="AM113" s="519"/>
      <c r="AN113" s="519"/>
      <c r="AO113" s="519"/>
      <c r="AP113" s="519"/>
      <c r="AQ113" s="519"/>
      <c r="AR113" s="519"/>
      <c r="AS113" s="519"/>
      <c r="AT113" s="519"/>
      <c r="AU113" s="519"/>
      <c r="AV113" s="519"/>
      <c r="AW113" s="519"/>
      <c r="AX113" s="519"/>
      <c r="AY113" s="519"/>
      <c r="AZ113" s="519"/>
      <c r="BA113" s="519"/>
    </row>
  </sheetData>
  <sheetProtection sheet="1" formatCells="0" formatColumns="0" formatRows="0" selectLockedCells="1"/>
  <mergeCells count="36">
    <mergeCell ref="A40:B43"/>
    <mergeCell ref="C40:P42"/>
    <mergeCell ref="C43:P43"/>
    <mergeCell ref="W52:X52"/>
    <mergeCell ref="A1:B3"/>
    <mergeCell ref="M1:N3"/>
    <mergeCell ref="R1:S3"/>
    <mergeCell ref="T1:AM3"/>
    <mergeCell ref="AA6:AF6"/>
    <mergeCell ref="AH6:AM6"/>
    <mergeCell ref="N33:N34"/>
    <mergeCell ref="P33:P34"/>
    <mergeCell ref="A36:B38"/>
    <mergeCell ref="C36:P38"/>
    <mergeCell ref="L6:L7"/>
    <mergeCell ref="O6:P6"/>
    <mergeCell ref="R6:R7"/>
    <mergeCell ref="S6:S7"/>
    <mergeCell ref="T6:Y6"/>
    <mergeCell ref="AP1:AZ4"/>
    <mergeCell ref="AP5:AT6"/>
    <mergeCell ref="AV5:AZ6"/>
    <mergeCell ref="R4:AM4"/>
    <mergeCell ref="R5:AM5"/>
    <mergeCell ref="A6:A7"/>
    <mergeCell ref="K6:K7"/>
    <mergeCell ref="H1:I1"/>
    <mergeCell ref="H2:I2"/>
    <mergeCell ref="A4:P4"/>
    <mergeCell ref="A5:P5"/>
    <mergeCell ref="B6:B7"/>
    <mergeCell ref="C6:C7"/>
    <mergeCell ref="D6:F6"/>
    <mergeCell ref="G6:I6"/>
    <mergeCell ref="J6:J7"/>
    <mergeCell ref="M6:N6"/>
  </mergeCells>
  <dataValidations count="2">
    <dataValidation type="list" allowBlank="1" sqref="J8:J31" xr:uid="{00000000-0002-0000-0400-000000000000}">
      <formula1>"0,10,20,30,40,50,60,70,80,90,100"</formula1>
    </dataValidation>
    <dataValidation type="list" allowBlank="1" sqref="C8:C31" xr:uid="{00000000-0002-0000-0400-000001000000}">
      <formula1>BB$7:BB$18</formula1>
    </dataValidation>
  </dataValidations>
  <pageMargins left="0.31496062992125984" right="0.31496062992125984" top="0.31496062992125984" bottom="0.15748031496062992" header="0.31496062992125984" footer="0.31496062992125984"/>
  <pageSetup paperSize="9" scale="62" fitToHeight="0" orientation="landscape" r:id="rId1"/>
  <rowBreaks count="1" manualBreakCount="1">
    <brk id="32" max="38" man="1"/>
  </rowBreaks>
  <colBreaks count="1" manualBreakCount="1">
    <brk id="16" max="31"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2000000}">
          <x14:formula1>
            <xm:f>Düngemittel!$B$6:$B$64</xm:f>
          </x14:formula1>
          <xm:sqref>U8:U31 AB8:AB31 AI8:AI31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sheetPr>
  <dimension ref="A1:CQ111"/>
  <sheetViews>
    <sheetView topLeftCell="AT1" zoomScale="90" zoomScaleNormal="90" zoomScalePageLayoutView="60" workbookViewId="0">
      <selection activeCell="BS9" sqref="BS9:BW9"/>
    </sheetView>
  </sheetViews>
  <sheetFormatPr baseColWidth="10" defaultRowHeight="15" x14ac:dyDescent="0.25"/>
  <cols>
    <col min="1" max="1" width="19.5703125" style="112" customWidth="1"/>
    <col min="2" max="2" width="12.5703125" style="80" customWidth="1"/>
    <col min="3" max="3" width="40.7109375" style="80" customWidth="1"/>
    <col min="4" max="4" width="10.42578125" style="112" customWidth="1"/>
    <col min="5" max="5" width="11" style="80" customWidth="1"/>
    <col min="6" max="6" width="11.140625" style="80" customWidth="1"/>
    <col min="7" max="7" width="8.42578125" style="80" customWidth="1"/>
    <col min="8" max="8" width="10.140625" style="80" customWidth="1"/>
    <col min="9" max="9" width="13.42578125" style="80" customWidth="1"/>
    <col min="10" max="10" width="17.42578125" style="80" customWidth="1"/>
    <col min="11" max="11" width="6.28515625" style="80" customWidth="1"/>
    <col min="12" max="12" width="8.85546875" style="80" customWidth="1"/>
    <col min="13" max="13" width="4.85546875" style="80" customWidth="1"/>
    <col min="14" max="14" width="16.140625" style="80" customWidth="1"/>
    <col min="15" max="15" width="9.28515625" style="112" customWidth="1"/>
    <col min="16" max="16" width="10.7109375" style="241" customWidth="1"/>
    <col min="17" max="17" width="8.7109375" style="80" customWidth="1"/>
    <col min="18" max="18" width="9.140625" style="80" customWidth="1"/>
    <col min="19" max="19" width="2.28515625" style="80" customWidth="1"/>
    <col min="20" max="20" width="13.140625" style="80" customWidth="1"/>
    <col min="21" max="21" width="9.42578125" style="80" customWidth="1"/>
    <col min="22" max="22" width="12.5703125" style="80" customWidth="1"/>
    <col min="23" max="23" width="6.140625" style="80" customWidth="1"/>
    <col min="24" max="24" width="6.85546875" style="80" customWidth="1"/>
    <col min="25" max="26" width="7.42578125" style="80" customWidth="1"/>
    <col min="27" max="27" width="1.42578125" style="80" customWidth="1"/>
    <col min="28" max="28" width="9.5703125" style="80" customWidth="1"/>
    <col min="29" max="29" width="12.42578125" style="80" customWidth="1"/>
    <col min="30" max="30" width="7.28515625" style="80" customWidth="1"/>
    <col min="31" max="33" width="7" style="80" customWidth="1"/>
    <col min="34" max="34" width="1.42578125" style="80" customWidth="1"/>
    <col min="35" max="35" width="10" style="80" customWidth="1"/>
    <col min="36" max="36" width="12.7109375" style="80" customWidth="1"/>
    <col min="37" max="37" width="7.28515625" style="80" customWidth="1"/>
    <col min="38" max="40" width="6.85546875" style="80" customWidth="1"/>
    <col min="41" max="41" width="1.28515625" style="80" customWidth="1"/>
    <col min="42" max="47" width="3.28515625" style="80" customWidth="1"/>
    <col min="48" max="48" width="1.42578125" style="80" customWidth="1"/>
    <col min="49" max="53" width="3" style="80" customWidth="1"/>
    <col min="54" max="54" width="2.7109375" style="80" customWidth="1"/>
    <col min="55" max="55" width="2.28515625" style="80" customWidth="1"/>
    <col min="56" max="56" width="7.42578125" style="80" customWidth="1"/>
    <col min="57" max="58" width="6.28515625" style="80" customWidth="1"/>
    <col min="59" max="59" width="9.140625" style="80" customWidth="1"/>
    <col min="60" max="60" width="6.28515625" style="80" customWidth="1"/>
    <col min="61" max="61" width="1.5703125" style="80" customWidth="1"/>
    <col min="62" max="62" width="7.28515625" style="80" customWidth="1"/>
    <col min="63" max="64" width="6.5703125" style="80" customWidth="1"/>
    <col min="65" max="65" width="7.7109375" style="80" customWidth="1"/>
    <col min="66" max="66" width="7" style="80" customWidth="1"/>
    <col min="67" max="67" width="3" style="80" customWidth="1"/>
    <col min="68" max="68" width="1.140625" style="80" customWidth="1"/>
    <col min="69" max="69" width="26.7109375" style="80" customWidth="1"/>
    <col min="70" max="70" width="11.140625" style="80" customWidth="1"/>
    <col min="71" max="71" width="19.85546875" style="80" customWidth="1"/>
    <col min="72" max="72" width="17.42578125" style="80" customWidth="1"/>
    <col min="73" max="73" width="8.85546875" style="80" customWidth="1"/>
    <col min="74" max="74" width="8.28515625" style="80" customWidth="1"/>
    <col min="75" max="75" width="8.7109375" style="80" customWidth="1"/>
    <col min="76" max="76" width="8.5703125" style="80" customWidth="1"/>
    <col min="77" max="77" width="20.42578125" style="80" customWidth="1"/>
    <col min="78" max="78" width="17" style="80" customWidth="1"/>
    <col min="79" max="79" width="7.85546875" style="80" customWidth="1"/>
    <col min="80" max="80" width="8" style="80" customWidth="1"/>
    <col min="81" max="82" width="8.140625" style="80" customWidth="1"/>
    <col min="83" max="83" width="12.85546875" style="80" customWidth="1"/>
    <col min="84" max="84" width="11.28515625" style="80" customWidth="1"/>
    <col min="85" max="85" width="8.42578125" style="80" customWidth="1"/>
    <col min="86" max="86" width="7.7109375" style="80" customWidth="1"/>
    <col min="87" max="87" width="8.7109375" style="80" customWidth="1"/>
    <col min="88" max="88" width="8.140625" style="80" customWidth="1"/>
    <col min="89" max="89" width="24.140625" style="80" customWidth="1"/>
    <col min="90" max="90" width="6.5703125" style="80" customWidth="1"/>
    <col min="91" max="91" width="31.28515625" style="80" customWidth="1"/>
    <col min="92" max="92" width="11.28515625" style="80" customWidth="1"/>
    <col min="93" max="93" width="26.28515625" style="80" customWidth="1"/>
    <col min="94" max="16384" width="11.42578125" style="80"/>
  </cols>
  <sheetData>
    <row r="1" spans="1:95" ht="15.75" customHeight="1" x14ac:dyDescent="0.25">
      <c r="A1" s="269"/>
      <c r="B1" s="270"/>
      <c r="C1" s="112" t="str">
        <f>'DüV-N-Ackerbau (1)'!C1</f>
        <v>Testbetrieb</v>
      </c>
      <c r="D1" s="374"/>
      <c r="E1" s="112" t="str">
        <f>'DüV-N-Ackerbau (1)'!F1</f>
        <v>Erntejahr</v>
      </c>
      <c r="F1" s="374"/>
      <c r="G1" s="448"/>
      <c r="H1" s="1352" t="s">
        <v>34</v>
      </c>
      <c r="I1" s="1353"/>
      <c r="J1" s="448"/>
      <c r="K1" s="448"/>
      <c r="L1" s="448"/>
      <c r="M1" s="448"/>
      <c r="N1" s="448"/>
      <c r="O1" s="448"/>
      <c r="P1" s="477"/>
      <c r="Q1" s="448"/>
    </row>
    <row r="2" spans="1:95" ht="28.5" customHeight="1" x14ac:dyDescent="0.25">
      <c r="A2" s="271"/>
      <c r="B2" s="15"/>
      <c r="C2" s="112">
        <f>'DüV-N-Ackerbau (1)'!C2</f>
        <v>1</v>
      </c>
      <c r="D2" s="15"/>
      <c r="E2" s="112">
        <f>'DüV-N-Ackerbau (1)'!G1</f>
        <v>2022</v>
      </c>
      <c r="F2" s="15"/>
      <c r="G2" s="112"/>
      <c r="H2" s="1356" t="s">
        <v>36</v>
      </c>
      <c r="I2" s="1336"/>
      <c r="O2" s="80"/>
      <c r="P2" s="474"/>
      <c r="BD2" s="1286" t="s">
        <v>1169</v>
      </c>
      <c r="BE2" s="1286"/>
      <c r="BF2" s="1286"/>
      <c r="BG2" s="1286"/>
      <c r="BH2" s="1286"/>
      <c r="BI2" s="1286"/>
      <c r="BJ2" s="1286"/>
      <c r="BK2" s="1286"/>
      <c r="BL2" s="1286"/>
      <c r="BM2" s="1286"/>
      <c r="BN2" s="1286"/>
    </row>
    <row r="3" spans="1:95" ht="23.25" customHeight="1" thickBot="1" x14ac:dyDescent="0.3">
      <c r="A3" s="271"/>
      <c r="B3" s="15"/>
      <c r="C3" s="112">
        <f>'DüV-N-Ackerbau (1)'!C3</f>
        <v>123456</v>
      </c>
      <c r="D3" s="15"/>
      <c r="E3" s="15"/>
      <c r="F3" s="15"/>
      <c r="O3" s="80"/>
      <c r="P3" s="474"/>
      <c r="AP3" s="765"/>
      <c r="BD3" s="1286"/>
      <c r="BE3" s="1286"/>
      <c r="BF3" s="1286"/>
      <c r="BG3" s="1286"/>
      <c r="BH3" s="1286"/>
      <c r="BI3" s="1286"/>
      <c r="BJ3" s="1286"/>
      <c r="BK3" s="1286"/>
      <c r="BL3" s="1286"/>
      <c r="BM3" s="1286"/>
      <c r="BN3" s="1286"/>
    </row>
    <row r="4" spans="1:95" ht="38.25" customHeight="1" thickBot="1" x14ac:dyDescent="0.3">
      <c r="A4" s="1397" t="s">
        <v>1216</v>
      </c>
      <c r="B4" s="1398"/>
      <c r="C4" s="1398"/>
      <c r="D4" s="1398"/>
      <c r="E4" s="1398"/>
      <c r="F4" s="1398"/>
      <c r="G4" s="1398"/>
      <c r="H4" s="1398"/>
      <c r="I4" s="1398"/>
      <c r="J4" s="1398"/>
      <c r="K4" s="1398"/>
      <c r="L4" s="1398"/>
      <c r="M4" s="1398"/>
      <c r="N4" s="1398"/>
      <c r="O4" s="1398"/>
      <c r="P4" s="1398"/>
      <c r="Q4" s="1398"/>
      <c r="R4" s="1427"/>
      <c r="S4" s="400"/>
      <c r="T4" s="1363" t="s">
        <v>1164</v>
      </c>
      <c r="U4" s="1425"/>
      <c r="V4" s="1425"/>
      <c r="W4" s="1425"/>
      <c r="X4" s="1425"/>
      <c r="Y4" s="1425"/>
      <c r="Z4" s="1425"/>
      <c r="AA4" s="1425"/>
      <c r="AB4" s="1425"/>
      <c r="AC4" s="1425"/>
      <c r="AD4" s="1425"/>
      <c r="AE4" s="1425"/>
      <c r="AF4" s="1425"/>
      <c r="AG4" s="1425"/>
      <c r="AH4" s="1425"/>
      <c r="AI4" s="1425"/>
      <c r="AJ4" s="1425"/>
      <c r="AK4" s="1425"/>
      <c r="AL4" s="1425"/>
      <c r="AM4" s="1425"/>
      <c r="AN4" s="1425"/>
      <c r="AO4" s="1425"/>
      <c r="AP4" s="1425"/>
      <c r="AQ4" s="1425"/>
      <c r="AR4" s="1425"/>
      <c r="AS4" s="1425"/>
      <c r="AT4" s="1425"/>
      <c r="AU4" s="1425"/>
      <c r="AV4" s="1425"/>
      <c r="AW4" s="1425"/>
      <c r="AX4" s="1425"/>
      <c r="AY4" s="1425"/>
      <c r="AZ4" s="1425"/>
      <c r="BA4" s="1425"/>
      <c r="BB4" s="1426"/>
      <c r="BC4" s="953"/>
      <c r="BD4" s="1286"/>
      <c r="BE4" s="1286"/>
      <c r="BF4" s="1286"/>
      <c r="BG4" s="1286"/>
      <c r="BH4" s="1286"/>
      <c r="BI4" s="1286"/>
      <c r="BJ4" s="1286"/>
      <c r="BK4" s="1286"/>
      <c r="BL4" s="1286"/>
      <c r="BM4" s="1286"/>
      <c r="BN4" s="1286"/>
      <c r="BQ4" s="400"/>
      <c r="BR4" s="400"/>
      <c r="BS4" s="400"/>
      <c r="BT4" s="400"/>
      <c r="BU4" s="400"/>
      <c r="BV4" s="400"/>
      <c r="BW4" s="400"/>
      <c r="BX4" s="400"/>
      <c r="BY4" s="400"/>
      <c r="BZ4" s="400"/>
      <c r="CA4" s="400"/>
      <c r="CB4" s="400"/>
      <c r="CC4" s="400"/>
      <c r="CD4" s="400"/>
      <c r="CE4" s="400"/>
      <c r="CF4" s="400"/>
      <c r="CG4" s="400"/>
      <c r="CH4" s="400"/>
      <c r="CI4" s="487"/>
      <c r="CJ4" s="487"/>
      <c r="CK4" s="487"/>
      <c r="CL4" s="633"/>
      <c r="CO4" s="378"/>
      <c r="CP4" s="355" t="s">
        <v>5</v>
      </c>
    </row>
    <row r="5" spans="1:95" s="124" customFormat="1" ht="25.5" customHeight="1" thickBot="1" x14ac:dyDescent="0.3">
      <c r="A5" s="1308" t="s">
        <v>1165</v>
      </c>
      <c r="B5" s="1401"/>
      <c r="C5" s="1401"/>
      <c r="D5" s="1401"/>
      <c r="E5" s="1401"/>
      <c r="F5" s="1401"/>
      <c r="G5" s="1401"/>
      <c r="H5" s="1401"/>
      <c r="I5" s="1401"/>
      <c r="J5" s="1401"/>
      <c r="K5" s="1401"/>
      <c r="L5" s="1401"/>
      <c r="M5" s="1401"/>
      <c r="N5" s="1401"/>
      <c r="O5" s="1401"/>
      <c r="P5" s="1401"/>
      <c r="Q5" s="1401"/>
      <c r="R5" s="1309"/>
      <c r="S5" s="724"/>
      <c r="T5" s="1418" t="s">
        <v>1033</v>
      </c>
      <c r="U5" s="1286"/>
      <c r="V5" s="1286"/>
      <c r="W5" s="1286"/>
      <c r="X5" s="1286"/>
      <c r="Y5" s="1286"/>
      <c r="Z5" s="1286"/>
      <c r="AA5" s="1286"/>
      <c r="AB5" s="1286"/>
      <c r="AC5" s="1286"/>
      <c r="AD5" s="1286"/>
      <c r="AE5" s="1286"/>
      <c r="AF5" s="1286"/>
      <c r="AG5" s="1286"/>
      <c r="AH5" s="1286"/>
      <c r="AI5" s="1286"/>
      <c r="AJ5" s="1286"/>
      <c r="AK5" s="1286"/>
      <c r="AL5" s="1286"/>
      <c r="AM5" s="1286"/>
      <c r="AN5" s="1286"/>
      <c r="AO5" s="1286"/>
      <c r="AP5" s="1286"/>
      <c r="AQ5" s="1286"/>
      <c r="AR5" s="1286"/>
      <c r="AS5" s="1286"/>
      <c r="AT5" s="1286"/>
      <c r="AU5" s="1286"/>
      <c r="AV5" s="1286"/>
      <c r="AW5" s="1286"/>
      <c r="AX5" s="1286"/>
      <c r="AY5" s="1286"/>
      <c r="AZ5" s="1286"/>
      <c r="BA5" s="1286"/>
      <c r="BB5" s="1419"/>
      <c r="BC5" s="954"/>
      <c r="BD5" s="1423" t="s">
        <v>1081</v>
      </c>
      <c r="BE5" s="1286"/>
      <c r="BF5" s="1286"/>
      <c r="BG5" s="1286"/>
      <c r="BH5" s="1286"/>
      <c r="BI5" s="181"/>
      <c r="BJ5" s="1287" t="s">
        <v>1092</v>
      </c>
      <c r="BK5" s="1424"/>
      <c r="BL5" s="1424"/>
      <c r="BM5" s="1424"/>
      <c r="BN5" s="1424"/>
      <c r="BO5" s="123"/>
      <c r="BP5" s="123"/>
      <c r="BQ5" s="1397" t="s">
        <v>1044</v>
      </c>
      <c r="BR5" s="1437"/>
      <c r="BS5" s="1397" t="s">
        <v>1093</v>
      </c>
      <c r="BT5" s="1438"/>
      <c r="BU5" s="1439"/>
      <c r="BV5" s="1439"/>
      <c r="BW5" s="1439"/>
      <c r="BX5" s="1440"/>
      <c r="BY5" s="1397" t="s">
        <v>1094</v>
      </c>
      <c r="BZ5" s="1437"/>
      <c r="CA5" s="1437"/>
      <c r="CB5" s="1437"/>
      <c r="CC5" s="1437"/>
      <c r="CD5" s="1441"/>
      <c r="CE5" s="1397" t="s">
        <v>1095</v>
      </c>
      <c r="CF5" s="1437"/>
      <c r="CG5" s="1437"/>
      <c r="CH5" s="1437"/>
      <c r="CI5" s="1437"/>
      <c r="CJ5" s="1441"/>
      <c r="CK5" s="114"/>
      <c r="CL5" s="114"/>
      <c r="CM5" s="80"/>
      <c r="CN5" s="80"/>
      <c r="CO5" s="355" t="s">
        <v>79</v>
      </c>
      <c r="CP5" s="354"/>
      <c r="CQ5" s="80"/>
    </row>
    <row r="6" spans="1:95" ht="23.25" customHeight="1" thickBot="1" x14ac:dyDescent="0.3">
      <c r="A6" s="1363" t="s">
        <v>1091</v>
      </c>
      <c r="B6" s="1406" t="s">
        <v>570</v>
      </c>
      <c r="C6" s="1428" t="s">
        <v>745</v>
      </c>
      <c r="D6" s="1430" t="s">
        <v>1182</v>
      </c>
      <c r="E6" s="1431"/>
      <c r="F6" s="1432"/>
      <c r="G6" s="1433" t="s">
        <v>302</v>
      </c>
      <c r="H6" s="1425"/>
      <c r="I6" s="1434"/>
      <c r="J6" s="1305" t="s">
        <v>250</v>
      </c>
      <c r="K6" s="1383" t="s">
        <v>163</v>
      </c>
      <c r="L6" s="1408" t="s">
        <v>607</v>
      </c>
      <c r="M6" s="1436" t="s">
        <v>163</v>
      </c>
      <c r="N6" s="1416" t="s">
        <v>243</v>
      </c>
      <c r="O6" s="1316" t="s">
        <v>1028</v>
      </c>
      <c r="P6" s="1417"/>
      <c r="Q6" s="1393" t="s">
        <v>1151</v>
      </c>
      <c r="R6" s="1394"/>
      <c r="S6" s="519"/>
      <c r="T6" s="1420" t="s">
        <v>1152</v>
      </c>
      <c r="U6" s="1392" t="s">
        <v>828</v>
      </c>
      <c r="V6" s="1381"/>
      <c r="W6" s="1381"/>
      <c r="X6" s="1381"/>
      <c r="Y6" s="1381"/>
      <c r="Z6" s="1346"/>
      <c r="AA6" s="400"/>
      <c r="AB6" s="1392" t="s">
        <v>851</v>
      </c>
      <c r="AC6" s="1381"/>
      <c r="AD6" s="1381"/>
      <c r="AE6" s="1381"/>
      <c r="AF6" s="1381"/>
      <c r="AG6" s="1346"/>
      <c r="AH6" s="400"/>
      <c r="AI6" s="1392" t="s">
        <v>852</v>
      </c>
      <c r="AJ6" s="1381"/>
      <c r="AK6" s="1381"/>
      <c r="AL6" s="1381"/>
      <c r="AM6" s="1381"/>
      <c r="AN6" s="1346"/>
      <c r="AO6" s="400"/>
      <c r="AP6" s="1392" t="s">
        <v>853</v>
      </c>
      <c r="AQ6" s="1381"/>
      <c r="AR6" s="1381"/>
      <c r="AS6" s="1381"/>
      <c r="AT6" s="1381"/>
      <c r="AU6" s="1346"/>
      <c r="AV6" s="400"/>
      <c r="AW6" s="1392" t="s">
        <v>854</v>
      </c>
      <c r="AX6" s="1381"/>
      <c r="AY6" s="1381"/>
      <c r="AZ6" s="1381"/>
      <c r="BA6" s="1381"/>
      <c r="BB6" s="1422"/>
      <c r="BC6" s="707"/>
      <c r="BD6" s="1286"/>
      <c r="BE6" s="1286"/>
      <c r="BF6" s="1286"/>
      <c r="BG6" s="1286"/>
      <c r="BH6" s="1286"/>
      <c r="BI6" s="400"/>
      <c r="BJ6" s="1281"/>
      <c r="BK6" s="1281"/>
      <c r="BL6" s="1281"/>
      <c r="BM6" s="1281"/>
      <c r="BN6" s="1281"/>
      <c r="BO6" s="123"/>
      <c r="BP6" s="123"/>
      <c r="BQ6" s="123"/>
      <c r="BR6" s="123"/>
      <c r="BS6" s="123"/>
      <c r="BT6" s="123"/>
      <c r="BU6" s="123"/>
      <c r="BV6" s="123"/>
      <c r="BW6" s="123"/>
      <c r="BX6" s="123"/>
      <c r="BY6" s="123"/>
      <c r="BZ6" s="123"/>
      <c r="CA6" s="123"/>
      <c r="CB6" s="123"/>
      <c r="CC6" s="123"/>
      <c r="CD6" s="123"/>
      <c r="CE6" s="123"/>
      <c r="CF6" s="123"/>
      <c r="CG6" s="123"/>
      <c r="CH6" s="400"/>
      <c r="CI6" s="633"/>
      <c r="CJ6" s="488"/>
      <c r="CK6" s="488"/>
      <c r="CL6" s="490"/>
      <c r="CO6" s="378" t="s">
        <v>240</v>
      </c>
      <c r="CP6" s="354">
        <v>10</v>
      </c>
    </row>
    <row r="7" spans="1:95" ht="65.25" customHeight="1" thickBot="1" x14ac:dyDescent="0.3">
      <c r="A7" s="1364"/>
      <c r="B7" s="1407"/>
      <c r="C7" s="1429"/>
      <c r="D7" s="415" t="s">
        <v>300</v>
      </c>
      <c r="E7" s="377" t="s">
        <v>351</v>
      </c>
      <c r="F7" s="416" t="s">
        <v>352</v>
      </c>
      <c r="G7" s="403" t="s">
        <v>85</v>
      </c>
      <c r="H7" s="402" t="s">
        <v>307</v>
      </c>
      <c r="I7" s="419" t="s">
        <v>305</v>
      </c>
      <c r="J7" s="1435"/>
      <c r="K7" s="1283"/>
      <c r="L7" s="1304"/>
      <c r="M7" s="1298"/>
      <c r="N7" s="1285"/>
      <c r="O7" s="581" t="s">
        <v>328</v>
      </c>
      <c r="P7" s="500" t="s">
        <v>612</v>
      </c>
      <c r="Q7" s="486" t="s">
        <v>605</v>
      </c>
      <c r="R7" s="483" t="s">
        <v>612</v>
      </c>
      <c r="S7" s="723"/>
      <c r="T7" s="1421"/>
      <c r="U7" s="745" t="s">
        <v>850</v>
      </c>
      <c r="V7" s="744" t="s">
        <v>830</v>
      </c>
      <c r="W7" s="681" t="s">
        <v>33</v>
      </c>
      <c r="X7" s="312" t="s">
        <v>1078</v>
      </c>
      <c r="Y7" s="681" t="s">
        <v>1079</v>
      </c>
      <c r="Z7" s="312" t="s">
        <v>1080</v>
      </c>
      <c r="AA7" s="519"/>
      <c r="AB7" s="745" t="s">
        <v>850</v>
      </c>
      <c r="AC7" s="744" t="s">
        <v>830</v>
      </c>
      <c r="AD7" s="681" t="s">
        <v>33</v>
      </c>
      <c r="AE7" s="312" t="s">
        <v>1078</v>
      </c>
      <c r="AF7" s="681" t="s">
        <v>1079</v>
      </c>
      <c r="AG7" s="312" t="s">
        <v>1080</v>
      </c>
      <c r="AH7" s="519"/>
      <c r="AI7" s="745" t="s">
        <v>850</v>
      </c>
      <c r="AJ7" s="744" t="s">
        <v>830</v>
      </c>
      <c r="AK7" s="681" t="s">
        <v>33</v>
      </c>
      <c r="AL7" s="312" t="s">
        <v>1078</v>
      </c>
      <c r="AM7" s="681" t="s">
        <v>1079</v>
      </c>
      <c r="AN7" s="312" t="s">
        <v>1080</v>
      </c>
      <c r="AO7" s="519"/>
      <c r="AP7" s="745" t="s">
        <v>850</v>
      </c>
      <c r="AQ7" s="744" t="s">
        <v>830</v>
      </c>
      <c r="AR7" s="681" t="s">
        <v>33</v>
      </c>
      <c r="AS7" s="312" t="s">
        <v>1078</v>
      </c>
      <c r="AT7" s="681" t="s">
        <v>1079</v>
      </c>
      <c r="AU7" s="312" t="s">
        <v>1080</v>
      </c>
      <c r="AV7" s="519"/>
      <c r="AW7" s="745" t="s">
        <v>850</v>
      </c>
      <c r="AX7" s="744" t="s">
        <v>830</v>
      </c>
      <c r="AY7" s="681" t="s">
        <v>33</v>
      </c>
      <c r="AZ7" s="312" t="s">
        <v>1078</v>
      </c>
      <c r="BA7" s="681" t="s">
        <v>1079</v>
      </c>
      <c r="BB7" s="957" t="s">
        <v>1080</v>
      </c>
      <c r="BC7" s="955"/>
      <c r="BD7" s="775" t="s">
        <v>1096</v>
      </c>
      <c r="BE7" s="312" t="s">
        <v>1082</v>
      </c>
      <c r="BF7" s="312" t="s">
        <v>1083</v>
      </c>
      <c r="BG7" s="699" t="s">
        <v>1268</v>
      </c>
      <c r="BH7" s="312" t="s">
        <v>290</v>
      </c>
      <c r="BI7" s="519"/>
      <c r="BJ7" s="780" t="s">
        <v>1096</v>
      </c>
      <c r="BK7" s="312" t="s">
        <v>1082</v>
      </c>
      <c r="BL7" s="781" t="s">
        <v>1098</v>
      </c>
      <c r="BM7" s="699" t="s">
        <v>1268</v>
      </c>
      <c r="BN7" s="312" t="s">
        <v>290</v>
      </c>
      <c r="BO7" s="519"/>
      <c r="BP7" s="519"/>
      <c r="BQ7" s="987" t="s">
        <v>1090</v>
      </c>
      <c r="BR7" s="980" t="s">
        <v>570</v>
      </c>
      <c r="BS7" s="981" t="s">
        <v>1229</v>
      </c>
      <c r="BT7" s="375" t="s">
        <v>1041</v>
      </c>
      <c r="BU7" s="982" t="s">
        <v>1040</v>
      </c>
      <c r="BV7" s="982" t="s">
        <v>1039</v>
      </c>
      <c r="BW7" s="982" t="s">
        <v>1043</v>
      </c>
      <c r="BX7" s="983" t="s">
        <v>1042</v>
      </c>
      <c r="BY7" s="981" t="s">
        <v>1229</v>
      </c>
      <c r="BZ7" s="375" t="s">
        <v>1041</v>
      </c>
      <c r="CA7" s="982" t="s">
        <v>1040</v>
      </c>
      <c r="CB7" s="982" t="s">
        <v>1039</v>
      </c>
      <c r="CC7" s="982" t="s">
        <v>1043</v>
      </c>
      <c r="CD7" s="983" t="s">
        <v>1042</v>
      </c>
      <c r="CE7" s="981" t="s">
        <v>1229</v>
      </c>
      <c r="CF7" s="375" t="s">
        <v>1041</v>
      </c>
      <c r="CG7" s="982" t="s">
        <v>1040</v>
      </c>
      <c r="CH7" s="982" t="s">
        <v>1039</v>
      </c>
      <c r="CI7" s="982" t="s">
        <v>1043</v>
      </c>
      <c r="CJ7" s="983" t="s">
        <v>1042</v>
      </c>
      <c r="CK7" s="913" t="s">
        <v>1214</v>
      </c>
      <c r="CO7" s="378" t="s">
        <v>241</v>
      </c>
      <c r="CP7" s="354">
        <v>30</v>
      </c>
    </row>
    <row r="8" spans="1:95" ht="23.25" customHeight="1" x14ac:dyDescent="0.25">
      <c r="A8" s="379" t="s">
        <v>1307</v>
      </c>
      <c r="B8" s="1221">
        <v>25</v>
      </c>
      <c r="C8" s="452" t="s">
        <v>1306</v>
      </c>
      <c r="D8" s="417">
        <f>100-E8-F8</f>
        <v>100</v>
      </c>
      <c r="E8" s="1232">
        <v>0</v>
      </c>
      <c r="F8" s="1233">
        <v>0</v>
      </c>
      <c r="G8" s="1223">
        <v>80</v>
      </c>
      <c r="H8" s="1224">
        <v>17</v>
      </c>
      <c r="I8" s="420">
        <f>((G8*D8/100)+(G8*E8*0.5/100)+G8*F8*0.75/100)*H8/6.25</f>
        <v>217.6</v>
      </c>
      <c r="J8" s="491" t="s">
        <v>88</v>
      </c>
      <c r="K8" s="422">
        <f t="shared" ref="K8:K31" si="0">VLOOKUP(J8,CO$17:CP$20,2,FALSE)</f>
        <v>20</v>
      </c>
      <c r="L8" s="493" t="s">
        <v>240</v>
      </c>
      <c r="M8" s="424">
        <f t="shared" ref="M8:M31" si="1">VLOOKUP(L8,CO$6:CP$10,2,FALSE)</f>
        <v>10</v>
      </c>
      <c r="N8" s="1228">
        <v>18</v>
      </c>
      <c r="O8" s="902">
        <f>IF(I8-M8-K8-N8&lt;0,0,I8-M8-K8-N8)</f>
        <v>169.6</v>
      </c>
      <c r="P8" s="582">
        <f t="shared" ref="P8:P30" si="2">IF(O8&lt;0,0,O8*B8)</f>
        <v>4240</v>
      </c>
      <c r="Q8" s="497">
        <f>G8*(D8/100+E8*0.5/100+F8*0.75/100)*(0.25+0.43*H8/6.25-0.06*H8/6.25*H8/6.25)</f>
        <v>78.055679999999995</v>
      </c>
      <c r="R8" s="407">
        <f>B8*Q8</f>
        <v>1951.3919999999998</v>
      </c>
      <c r="S8" s="16"/>
      <c r="T8" s="958" t="str">
        <f>$A8</f>
        <v>4 Schnitt</v>
      </c>
      <c r="U8" s="899">
        <v>44621</v>
      </c>
      <c r="V8" s="887" t="s">
        <v>1054</v>
      </c>
      <c r="W8" s="906">
        <v>300</v>
      </c>
      <c r="X8" s="687">
        <f>VLOOKUP(V8,Düngemittel!$B$6:$E$64,2,FALSE)*(VLOOKUP(V8,Düngemittel!$B$6:$E$64,3,FALSE))/100*W8</f>
        <v>64.8</v>
      </c>
      <c r="Y8" s="687">
        <f>VLOOKUP(V8,Düngemittel!$B$6:$E$64,2,FALSE)*W8</f>
        <v>108</v>
      </c>
      <c r="Z8" s="687">
        <f>VLOOKUP(V8,Düngemittel!$B$6:$E$64,4,FALSE)*W8</f>
        <v>45</v>
      </c>
      <c r="AA8" s="666"/>
      <c r="AB8" s="899">
        <v>44635</v>
      </c>
      <c r="AC8" s="887" t="s">
        <v>842</v>
      </c>
      <c r="AD8" s="906">
        <v>2.4</v>
      </c>
      <c r="AE8" s="687">
        <f>VLOOKUP(AC8,Düngemittel!$B$6:$E$64,2,FALSE)*(VLOOKUP(AC8,Düngemittel!$B$6:$E$64,3,FALSE))/100*AD8</f>
        <v>62.4</v>
      </c>
      <c r="AF8" s="687">
        <f>VLOOKUP(AC8,Düngemittel!$B$6:$E$64,2,FALSE)*AD8</f>
        <v>62.4</v>
      </c>
      <c r="AG8" s="687">
        <f>VLOOKUP(AC8,Düngemittel!$B$6:$E$64,4,FALSE)*AD8</f>
        <v>0</v>
      </c>
      <c r="AH8" s="666"/>
      <c r="AI8" s="899">
        <v>44854</v>
      </c>
      <c r="AJ8" s="887" t="s">
        <v>1054</v>
      </c>
      <c r="AK8" s="906">
        <v>200</v>
      </c>
      <c r="AL8" s="687">
        <f>VLOOKUP(AJ8,Düngemittel!$B$6:$E$64,2,FALSE)*(VLOOKUP(AJ8,Düngemittel!$B$6:$E$64,3,FALSE))/100*AK8</f>
        <v>43.199999999999996</v>
      </c>
      <c r="AM8" s="687">
        <f>VLOOKUP(AJ8,Düngemittel!$B$6:$E$64,2,FALSE)*AK8</f>
        <v>72</v>
      </c>
      <c r="AN8" s="687">
        <f>VLOOKUP(AJ8,Düngemittel!$B$6:$E$64,4,FALSE)*AK8</f>
        <v>30</v>
      </c>
      <c r="AO8" s="666"/>
      <c r="AP8" s="899"/>
      <c r="AQ8" s="887" t="s">
        <v>805</v>
      </c>
      <c r="AR8" s="906">
        <v>0</v>
      </c>
      <c r="AS8" s="687">
        <f>VLOOKUP(AQ8,Düngemittel!$B$6:$E$64,2,FALSE)*(VLOOKUP(AQ8,Düngemittel!$B$6:$E$64,3,FALSE))/100*AR8</f>
        <v>0</v>
      </c>
      <c r="AT8" s="687">
        <f>VLOOKUP(AQ8,Düngemittel!$B$6:$E$64,2,FALSE)*AR8</f>
        <v>0</v>
      </c>
      <c r="AU8" s="687">
        <f>VLOOKUP(AQ8,Düngemittel!$B$6:$E$64,4,FALSE)*AR8</f>
        <v>0</v>
      </c>
      <c r="AV8" s="666"/>
      <c r="AW8" s="899"/>
      <c r="AX8" s="887" t="s">
        <v>805</v>
      </c>
      <c r="AY8" s="906">
        <v>0</v>
      </c>
      <c r="AZ8" s="687">
        <f>VLOOKUP(AX8,Düngemittel!$B$6:$E$64,2,FALSE)*(VLOOKUP(AX8,Düngemittel!$B$6:$E$64,3,FALSE))/100*AY8</f>
        <v>0</v>
      </c>
      <c r="BA8" s="687">
        <f>VLOOKUP(AX8,Düngemittel!$B$6:$E$64,2,FALSE)*AY8</f>
        <v>0</v>
      </c>
      <c r="BB8" s="774">
        <f>VLOOKUP(AX8,Düngemittel!$B$6:$E$64,4,FALSE)*AY8</f>
        <v>0</v>
      </c>
      <c r="BC8" s="956"/>
      <c r="BD8" s="853">
        <f>IF(X8&lt;Y8,0,X8)+IF(AE8&lt;AF8,0,AE8)+IF(AL8&lt;AM8,0,AL8)+IF(AS8&lt;AT8,0,AS8)+IF(AZ8&lt;BA8,0,AZ8)</f>
        <v>62.4</v>
      </c>
      <c r="BE8" s="308">
        <f>SUM(X8+AE8+AL8+AS8+AZ8)</f>
        <v>170.39999999999998</v>
      </c>
      <c r="BF8" s="853">
        <f>SUM(Y8+AF8+AM8+AT8+BA8)</f>
        <v>242.4</v>
      </c>
      <c r="BG8" s="777">
        <f>IF(X8&lt;Y8,Y8,0)+IF(AE8&lt;AF8,AF8,0)+IF(AL8&lt;AM8,AM8,0)+IF(AS8&lt;AT8,AT8,0)+IF(AZ8&lt;BA8,BA8,0)</f>
        <v>180</v>
      </c>
      <c r="BH8" s="308">
        <f>SUM(Z8+AG8+AN8+AU8+BB8)</f>
        <v>75</v>
      </c>
      <c r="BI8" s="785"/>
      <c r="BJ8" s="853">
        <f>BD8*$B8</f>
        <v>1560</v>
      </c>
      <c r="BK8" s="853">
        <f t="shared" ref="BK8:BN8" si="3">BE8*$B8</f>
        <v>4259.9999999999991</v>
      </c>
      <c r="BL8" s="853">
        <f t="shared" si="3"/>
        <v>6060</v>
      </c>
      <c r="BM8" s="853">
        <f t="shared" si="3"/>
        <v>4500</v>
      </c>
      <c r="BN8" s="853">
        <f t="shared" si="3"/>
        <v>1875</v>
      </c>
      <c r="BO8" s="16"/>
      <c r="BP8" s="16"/>
      <c r="BQ8" s="984" t="str">
        <f>$A8</f>
        <v>4 Schnitt</v>
      </c>
      <c r="BR8" s="985">
        <f>$B8</f>
        <v>25</v>
      </c>
      <c r="BS8" s="979"/>
      <c r="BT8" s="976"/>
      <c r="BU8" s="977"/>
      <c r="BV8" s="977"/>
      <c r="BW8" s="977"/>
      <c r="BX8" s="986">
        <f>SUM(BV8*BW8/24)</f>
        <v>0</v>
      </c>
      <c r="BY8" s="979"/>
      <c r="BZ8" s="976"/>
      <c r="CA8" s="977"/>
      <c r="CB8" s="977"/>
      <c r="CC8" s="977"/>
      <c r="CD8" s="986">
        <f>SUM(CB8*CC8/24)</f>
        <v>0</v>
      </c>
      <c r="CE8" s="979"/>
      <c r="CF8" s="976"/>
      <c r="CG8" s="977"/>
      <c r="CH8" s="977"/>
      <c r="CI8" s="977"/>
      <c r="CJ8" s="986">
        <f>SUM(CH8*CI8/24)</f>
        <v>0</v>
      </c>
      <c r="CK8" s="914"/>
      <c r="CO8" s="378" t="s">
        <v>242</v>
      </c>
      <c r="CP8" s="354">
        <v>50</v>
      </c>
    </row>
    <row r="9" spans="1:95" ht="23.25" customHeight="1" x14ac:dyDescent="0.25">
      <c r="A9" s="342" t="s">
        <v>1153</v>
      </c>
      <c r="B9" s="1222">
        <v>10</v>
      </c>
      <c r="C9" s="451" t="s">
        <v>213</v>
      </c>
      <c r="D9" s="418">
        <f t="shared" ref="D9:D30" si="4">100-E9-F9</f>
        <v>40</v>
      </c>
      <c r="E9" s="918">
        <v>60</v>
      </c>
      <c r="F9" s="1234">
        <v>0</v>
      </c>
      <c r="G9" s="1065">
        <v>85</v>
      </c>
      <c r="H9" s="1225">
        <v>17.2</v>
      </c>
      <c r="I9" s="421">
        <f t="shared" ref="I9:I30" si="5">((G9*D9/100)+(G9*E9*0.5/100)+G9*F9*0.75/100)*H9/6.25</f>
        <v>163.744</v>
      </c>
      <c r="J9" s="492" t="s">
        <v>88</v>
      </c>
      <c r="K9" s="423">
        <f t="shared" si="0"/>
        <v>20</v>
      </c>
      <c r="L9" s="494" t="s">
        <v>240</v>
      </c>
      <c r="M9" s="425">
        <f t="shared" si="1"/>
        <v>10</v>
      </c>
      <c r="N9" s="1229">
        <v>7.2</v>
      </c>
      <c r="O9" s="585">
        <f t="shared" ref="O9:O30" si="6">IF(I9-M9-K9-N9&lt;0,0,I9-M9-K9-N9)</f>
        <v>126.544</v>
      </c>
      <c r="P9" s="583">
        <f t="shared" si="2"/>
        <v>1265.44</v>
      </c>
      <c r="Q9" s="499">
        <f t="shared" ref="Q9:Q30" si="7">G9*(D9/100+E9*0.5/100+F9*0.75/100)*(0.25+0.43*H9/6.25-0.06*H9/6.25*H9/6.25)</f>
        <v>58.247510719999987</v>
      </c>
      <c r="R9" s="409">
        <f t="shared" ref="R9:R30" si="8">B9*Q9</f>
        <v>582.47510719999991</v>
      </c>
      <c r="S9" s="16"/>
      <c r="T9" s="958" t="str">
        <f>$A9</f>
        <v>Mähweide</v>
      </c>
      <c r="U9" s="899">
        <v>44635</v>
      </c>
      <c r="V9" s="887" t="s">
        <v>842</v>
      </c>
      <c r="W9" s="906">
        <v>2.4</v>
      </c>
      <c r="X9" s="687">
        <f>VLOOKUP(V9,Düngemittel!$B$6:$E$64,2,FALSE)*(VLOOKUP(V9,Düngemittel!$B$6:$E$64,3,FALSE))/100*W9</f>
        <v>62.4</v>
      </c>
      <c r="Y9" s="687">
        <f>VLOOKUP(V9,Düngemittel!$B$6:$E$64,2,FALSE)*W9</f>
        <v>62.4</v>
      </c>
      <c r="Z9" s="687">
        <f>VLOOKUP(V9,Düngemittel!$B$6:$E$64,4,FALSE)*W9</f>
        <v>0</v>
      </c>
      <c r="AA9" s="666"/>
      <c r="AB9" s="899"/>
      <c r="AC9" s="887" t="s">
        <v>805</v>
      </c>
      <c r="AD9" s="978">
        <v>0</v>
      </c>
      <c r="AE9" s="687">
        <f>VLOOKUP(AC9,Düngemittel!$B$6:$E$64,2,FALSE)*(VLOOKUP(AC9,Düngemittel!$B$6:$E$64,3,FALSE))/100*AD9</f>
        <v>0</v>
      </c>
      <c r="AF9" s="687">
        <f>VLOOKUP(AC9,Düngemittel!$B$6:$E$64,2,FALSE)*AD9</f>
        <v>0</v>
      </c>
      <c r="AG9" s="687">
        <f>VLOOKUP(AC9,Düngemittel!$B$6:$E$64,4,FALSE)*AD9</f>
        <v>0</v>
      </c>
      <c r="AH9" s="666"/>
      <c r="AI9" s="899">
        <v>44854</v>
      </c>
      <c r="AJ9" s="887" t="s">
        <v>1054</v>
      </c>
      <c r="AK9" s="906">
        <v>200</v>
      </c>
      <c r="AL9" s="687">
        <f>VLOOKUP(AJ9,Düngemittel!$B$6:$E$64,2,FALSE)*(VLOOKUP(AJ9,Düngemittel!$B$6:$E$64,3,FALSE))/100*AK9</f>
        <v>43.199999999999996</v>
      </c>
      <c r="AM9" s="687">
        <f>VLOOKUP(AJ9,Düngemittel!$B$6:$E$64,2,FALSE)*AK9</f>
        <v>72</v>
      </c>
      <c r="AN9" s="687">
        <f>VLOOKUP(AJ9,Düngemittel!$B$6:$E$64,4,FALSE)*AK9</f>
        <v>30</v>
      </c>
      <c r="AO9" s="666"/>
      <c r="AP9" s="899"/>
      <c r="AQ9" s="887" t="s">
        <v>805</v>
      </c>
      <c r="AR9" s="978">
        <v>0</v>
      </c>
      <c r="AS9" s="687">
        <f>VLOOKUP(AQ9,Düngemittel!$B$6:$E$64,2,FALSE)*(VLOOKUP(AQ9,Düngemittel!$B$6:$E$64,3,FALSE))/100*AR9</f>
        <v>0</v>
      </c>
      <c r="AT9" s="687">
        <f>VLOOKUP(AQ9,Düngemittel!$B$6:$E$64,2,FALSE)*AR9</f>
        <v>0</v>
      </c>
      <c r="AU9" s="687">
        <f>VLOOKUP(AQ9,Düngemittel!$B$6:$E$64,4,FALSE)*AR9</f>
        <v>0</v>
      </c>
      <c r="AV9" s="666"/>
      <c r="AW9" s="899"/>
      <c r="AX9" s="887" t="s">
        <v>805</v>
      </c>
      <c r="AY9" s="906">
        <v>0</v>
      </c>
      <c r="AZ9" s="687">
        <f>VLOOKUP(AX9,Düngemittel!$B$6:$E$64,2,FALSE)*(VLOOKUP(AX9,Düngemittel!$B$6:$E$64,3,FALSE))/100*AY9</f>
        <v>0</v>
      </c>
      <c r="BA9" s="687">
        <f>VLOOKUP(AX9,Düngemittel!$B$6:$E$64,2,FALSE)*AY9</f>
        <v>0</v>
      </c>
      <c r="BB9" s="774">
        <f>VLOOKUP(AX9,Düngemittel!$B$6:$E$64,4,FALSE)*AY9</f>
        <v>0</v>
      </c>
      <c r="BC9" s="956"/>
      <c r="BD9" s="853">
        <f t="shared" ref="BD9:BD31" si="9">IF(X9&lt;Y9,0,X9)+IF(AE9&lt;AF9,0,AE9)+IF(AL9&lt;AM9,0,AL9)+IF(AS9&lt;AT9,0,AS9)+IF(AZ9&lt;BA9,0,AZ9)</f>
        <v>62.4</v>
      </c>
      <c r="BE9" s="308">
        <f t="shared" ref="BE9:BE31" si="10">SUM(X9+AE9+AL9+AS9+AZ9)</f>
        <v>105.6</v>
      </c>
      <c r="BF9" s="853">
        <f t="shared" ref="BF9:BF31" si="11">SUM(Y9+AF9+AM9+AT9+BA9)</f>
        <v>134.4</v>
      </c>
      <c r="BG9" s="777">
        <f t="shared" ref="BG9:BG31" si="12">IF(X9&lt;Y9,Y9,0)+IF(AE9&lt;AF9,AF9,0)+IF(AL9&lt;AM9,AM9,0)+IF(AS9&lt;AT9,AT9,0)+IF(AZ9&lt;BA9,BA9,0)</f>
        <v>72</v>
      </c>
      <c r="BH9" s="308">
        <f t="shared" ref="BH9:BH31" si="13">SUM(Z9+AG9+AN9+AU9+BB9)</f>
        <v>30</v>
      </c>
      <c r="BI9" s="785"/>
      <c r="BJ9" s="853">
        <f t="shared" ref="BJ9:BJ31" si="14">BD9*$B9</f>
        <v>624</v>
      </c>
      <c r="BK9" s="853">
        <f t="shared" ref="BK9:BK31" si="15">BE9*$B9</f>
        <v>1056</v>
      </c>
      <c r="BL9" s="853">
        <f t="shared" ref="BL9:BL31" si="16">BF9*$B9</f>
        <v>1344</v>
      </c>
      <c r="BM9" s="853">
        <f t="shared" ref="BM9:BM31" si="17">BG9*$B9</f>
        <v>720</v>
      </c>
      <c r="BN9" s="853">
        <f t="shared" ref="BN9:BN31" si="18">BH9*$B9</f>
        <v>300</v>
      </c>
      <c r="BO9" s="16"/>
      <c r="BP9" s="16"/>
      <c r="BQ9" s="984" t="str">
        <f t="shared" ref="BQ9:BQ31" si="19">$A9</f>
        <v>Mähweide</v>
      </c>
      <c r="BR9" s="985">
        <f t="shared" ref="BR9:BR31" si="20">$B9</f>
        <v>10</v>
      </c>
      <c r="BS9" s="919" t="s">
        <v>1308</v>
      </c>
      <c r="BT9" s="974" t="s">
        <v>1309</v>
      </c>
      <c r="BU9" s="918">
        <v>40</v>
      </c>
      <c r="BV9" s="918">
        <v>160</v>
      </c>
      <c r="BW9" s="918">
        <v>24</v>
      </c>
      <c r="BX9" s="774">
        <f t="shared" ref="BX9:BX31" si="21">SUM(BV9*BW9/24)</f>
        <v>160</v>
      </c>
      <c r="BY9" s="919"/>
      <c r="BZ9" s="974"/>
      <c r="CA9" s="918"/>
      <c r="CB9" s="918"/>
      <c r="CC9" s="918"/>
      <c r="CD9" s="774">
        <f t="shared" ref="CD9:CD31" si="22">SUM(CB9*CC9/24)</f>
        <v>0</v>
      </c>
      <c r="CE9" s="919"/>
      <c r="CF9" s="974"/>
      <c r="CG9" s="918"/>
      <c r="CH9" s="918"/>
      <c r="CI9" s="918"/>
      <c r="CJ9" s="774">
        <f t="shared" ref="CJ9:CJ31" si="23">SUM(CH9*CI9/24)</f>
        <v>0</v>
      </c>
      <c r="CK9" s="915"/>
      <c r="CO9" s="378" t="s">
        <v>80</v>
      </c>
      <c r="CP9" s="354">
        <v>50</v>
      </c>
    </row>
    <row r="10" spans="1:95" ht="23.25" customHeight="1" x14ac:dyDescent="0.25">
      <c r="A10" s="342">
        <v>3</v>
      </c>
      <c r="B10" s="1222">
        <v>0</v>
      </c>
      <c r="C10" s="451"/>
      <c r="D10" s="418">
        <f t="shared" si="4"/>
        <v>100</v>
      </c>
      <c r="E10" s="918">
        <v>0</v>
      </c>
      <c r="F10" s="1234">
        <v>0</v>
      </c>
      <c r="G10" s="1065">
        <v>0</v>
      </c>
      <c r="H10" s="1225">
        <v>0</v>
      </c>
      <c r="I10" s="421">
        <f t="shared" si="5"/>
        <v>0</v>
      </c>
      <c r="J10" s="492" t="s">
        <v>90</v>
      </c>
      <c r="K10" s="423">
        <f t="shared" si="0"/>
        <v>0</v>
      </c>
      <c r="L10" s="494" t="s">
        <v>240</v>
      </c>
      <c r="M10" s="425">
        <f t="shared" si="1"/>
        <v>10</v>
      </c>
      <c r="N10" s="1229"/>
      <c r="O10" s="585">
        <f t="shared" si="6"/>
        <v>0</v>
      </c>
      <c r="P10" s="583">
        <f t="shared" si="2"/>
        <v>0</v>
      </c>
      <c r="Q10" s="499">
        <f t="shared" si="7"/>
        <v>0</v>
      </c>
      <c r="R10" s="409">
        <f t="shared" si="8"/>
        <v>0</v>
      </c>
      <c r="S10" s="16"/>
      <c r="T10" s="958">
        <f>$A10</f>
        <v>3</v>
      </c>
      <c r="U10" s="899"/>
      <c r="V10" s="887" t="s">
        <v>805</v>
      </c>
      <c r="W10" s="906">
        <v>0</v>
      </c>
      <c r="X10" s="687">
        <f>VLOOKUP(V10,Düngemittel!$B$6:$E$64,2,FALSE)*(VLOOKUP(V10,Düngemittel!$B$6:$E$64,3,FALSE))/100*W10</f>
        <v>0</v>
      </c>
      <c r="Y10" s="687">
        <f>VLOOKUP(V10,Düngemittel!$B$6:$E$64,2,FALSE)*W10</f>
        <v>0</v>
      </c>
      <c r="Z10" s="687">
        <f>VLOOKUP(V10,Düngemittel!$B$6:$E$64,4,FALSE)*W10</f>
        <v>0</v>
      </c>
      <c r="AA10" s="666"/>
      <c r="AB10" s="899"/>
      <c r="AC10" s="887" t="s">
        <v>805</v>
      </c>
      <c r="AD10" s="978">
        <v>0</v>
      </c>
      <c r="AE10" s="687">
        <f>VLOOKUP(AC10,Düngemittel!$B$6:$E$64,2,FALSE)*(VLOOKUP(AC10,Düngemittel!$B$6:$E$64,3,FALSE))/100*AD10</f>
        <v>0</v>
      </c>
      <c r="AF10" s="687">
        <f>VLOOKUP(AC10,Düngemittel!$B$6:$E$64,2,FALSE)*AD10</f>
        <v>0</v>
      </c>
      <c r="AG10" s="687">
        <f>VLOOKUP(AC10,Düngemittel!$B$6:$E$64,4,FALSE)*AD10</f>
        <v>0</v>
      </c>
      <c r="AH10" s="666"/>
      <c r="AI10" s="899"/>
      <c r="AJ10" s="887" t="s">
        <v>805</v>
      </c>
      <c r="AK10" s="978">
        <v>0</v>
      </c>
      <c r="AL10" s="687">
        <f>VLOOKUP(AJ10,Düngemittel!$B$6:$E$64,2,FALSE)*(VLOOKUP(AJ10,Düngemittel!$B$6:$E$64,3,FALSE))/100*AK10</f>
        <v>0</v>
      </c>
      <c r="AM10" s="687">
        <f>VLOOKUP(AJ10,Düngemittel!$B$6:$E$64,2,FALSE)*AK10</f>
        <v>0</v>
      </c>
      <c r="AN10" s="687">
        <f>VLOOKUP(AJ10,Düngemittel!$B$6:$E$64,4,FALSE)*AK10</f>
        <v>0</v>
      </c>
      <c r="AO10" s="666"/>
      <c r="AP10" s="899"/>
      <c r="AQ10" s="887" t="s">
        <v>805</v>
      </c>
      <c r="AR10" s="978">
        <v>0</v>
      </c>
      <c r="AS10" s="687">
        <f>VLOOKUP(AQ10,Düngemittel!$B$6:$E$64,2,FALSE)*(VLOOKUP(AQ10,Düngemittel!$B$6:$E$64,3,FALSE))/100*AR10</f>
        <v>0</v>
      </c>
      <c r="AT10" s="687">
        <f>VLOOKUP(AQ10,Düngemittel!$B$6:$E$64,2,FALSE)*AR10</f>
        <v>0</v>
      </c>
      <c r="AU10" s="687">
        <f>VLOOKUP(AQ10,Düngemittel!$B$6:$E$64,4,FALSE)*AR10</f>
        <v>0</v>
      </c>
      <c r="AV10" s="666"/>
      <c r="AW10" s="899"/>
      <c r="AX10" s="887" t="s">
        <v>805</v>
      </c>
      <c r="AY10" s="906">
        <v>0</v>
      </c>
      <c r="AZ10" s="687">
        <f>VLOOKUP(AX10,Düngemittel!$B$6:$E$64,2,FALSE)*(VLOOKUP(AX10,Düngemittel!$B$6:$E$64,3,FALSE))/100*AY10</f>
        <v>0</v>
      </c>
      <c r="BA10" s="687">
        <f>VLOOKUP(AX10,Düngemittel!$B$6:$E$64,2,FALSE)*AY10</f>
        <v>0</v>
      </c>
      <c r="BB10" s="774">
        <f>VLOOKUP(AX10,Düngemittel!$B$6:$E$64,4,FALSE)*AY10</f>
        <v>0</v>
      </c>
      <c r="BC10" s="956"/>
      <c r="BD10" s="853">
        <f t="shared" si="9"/>
        <v>0</v>
      </c>
      <c r="BE10" s="308">
        <f t="shared" si="10"/>
        <v>0</v>
      </c>
      <c r="BF10" s="853">
        <f t="shared" si="11"/>
        <v>0</v>
      </c>
      <c r="BG10" s="777">
        <f t="shared" si="12"/>
        <v>0</v>
      </c>
      <c r="BH10" s="308">
        <f t="shared" si="13"/>
        <v>0</v>
      </c>
      <c r="BI10" s="785"/>
      <c r="BJ10" s="853">
        <f t="shared" si="14"/>
        <v>0</v>
      </c>
      <c r="BK10" s="853">
        <f t="shared" si="15"/>
        <v>0</v>
      </c>
      <c r="BL10" s="853">
        <f t="shared" si="16"/>
        <v>0</v>
      </c>
      <c r="BM10" s="853">
        <f t="shared" si="17"/>
        <v>0</v>
      </c>
      <c r="BN10" s="853">
        <f t="shared" si="18"/>
        <v>0</v>
      </c>
      <c r="BO10" s="16"/>
      <c r="BP10" s="16"/>
      <c r="BQ10" s="984">
        <f t="shared" si="19"/>
        <v>3</v>
      </c>
      <c r="BR10" s="985">
        <f t="shared" si="20"/>
        <v>0</v>
      </c>
      <c r="BS10" s="919"/>
      <c r="BT10" s="974"/>
      <c r="BU10" s="918"/>
      <c r="BV10" s="918"/>
      <c r="BW10" s="918"/>
      <c r="BX10" s="774">
        <f t="shared" si="21"/>
        <v>0</v>
      </c>
      <c r="BY10" s="919"/>
      <c r="BZ10" s="974"/>
      <c r="CA10" s="918"/>
      <c r="CB10" s="918"/>
      <c r="CC10" s="918"/>
      <c r="CD10" s="774">
        <f t="shared" si="22"/>
        <v>0</v>
      </c>
      <c r="CE10" s="919"/>
      <c r="CF10" s="974"/>
      <c r="CG10" s="918"/>
      <c r="CH10" s="918"/>
      <c r="CI10" s="918"/>
      <c r="CJ10" s="774">
        <f t="shared" si="23"/>
        <v>0</v>
      </c>
      <c r="CK10" s="915"/>
      <c r="CO10" s="378" t="s">
        <v>81</v>
      </c>
      <c r="CP10" s="354">
        <v>80</v>
      </c>
    </row>
    <row r="11" spans="1:95" ht="23.25" customHeight="1" x14ac:dyDescent="0.25">
      <c r="A11" s="342">
        <v>4</v>
      </c>
      <c r="B11" s="1222">
        <v>0</v>
      </c>
      <c r="C11" s="451"/>
      <c r="D11" s="418">
        <f t="shared" ref="D11:D14" si="24">100-E11-F11</f>
        <v>100</v>
      </c>
      <c r="E11" s="918">
        <v>0</v>
      </c>
      <c r="F11" s="1234">
        <v>0</v>
      </c>
      <c r="G11" s="1065">
        <v>0</v>
      </c>
      <c r="H11" s="1225">
        <v>0</v>
      </c>
      <c r="I11" s="421">
        <f t="shared" ref="I11:I14" si="25">((G11*D11/100)+(G11*E11*0.5/100)+G11*F11*0.75/100)*H11/6.25</f>
        <v>0</v>
      </c>
      <c r="J11" s="492" t="s">
        <v>90</v>
      </c>
      <c r="K11" s="423">
        <f t="shared" si="0"/>
        <v>0</v>
      </c>
      <c r="L11" s="494" t="s">
        <v>240</v>
      </c>
      <c r="M11" s="425">
        <f t="shared" si="1"/>
        <v>10</v>
      </c>
      <c r="N11" s="1229"/>
      <c r="O11" s="585">
        <f t="shared" ref="O11:O14" si="26">IF(I11-M11-K11-N11&lt;0,0,I11-M11-K11-N11)</f>
        <v>0</v>
      </c>
      <c r="P11" s="583">
        <f t="shared" ref="P11:P14" si="27">IF(O11&lt;0,0,O11*B11)</f>
        <v>0</v>
      </c>
      <c r="Q11" s="499">
        <f t="shared" ref="Q11:Q14" si="28">G11*(D11/100+E11*0.5/100+F11*0.75/100)*(0.25+0.43*H11/6.25-0.06*H11/6.25*H11/6.25)</f>
        <v>0</v>
      </c>
      <c r="R11" s="409">
        <f t="shared" ref="R11:R14" si="29">B11*Q11</f>
        <v>0</v>
      </c>
      <c r="S11" s="16"/>
      <c r="T11" s="958">
        <f>$A11</f>
        <v>4</v>
      </c>
      <c r="U11" s="899"/>
      <c r="V11" s="887" t="s">
        <v>805</v>
      </c>
      <c r="W11" s="906">
        <v>0</v>
      </c>
      <c r="X11" s="687">
        <f>VLOOKUP(V11,Düngemittel!$B$6:$E$64,2,FALSE)*(VLOOKUP(V11,Düngemittel!$B$6:$E$64,3,FALSE))/100*W11</f>
        <v>0</v>
      </c>
      <c r="Y11" s="687">
        <f>VLOOKUP(V11,Düngemittel!$B$6:$E$64,2,FALSE)*W11</f>
        <v>0</v>
      </c>
      <c r="Z11" s="687">
        <f>VLOOKUP(V11,Düngemittel!$B$6:$E$64,4,FALSE)*W11</f>
        <v>0</v>
      </c>
      <c r="AA11" s="666"/>
      <c r="AB11" s="899"/>
      <c r="AC11" s="887" t="s">
        <v>805</v>
      </c>
      <c r="AD11" s="978">
        <v>0</v>
      </c>
      <c r="AE11" s="687">
        <f>VLOOKUP(AC11,Düngemittel!$B$6:$E$64,2,FALSE)*(VLOOKUP(AC11,Düngemittel!$B$6:$E$64,3,FALSE))/100*AD11</f>
        <v>0</v>
      </c>
      <c r="AF11" s="687">
        <f>VLOOKUP(AC11,Düngemittel!$B$6:$E$64,2,FALSE)*AD11</f>
        <v>0</v>
      </c>
      <c r="AG11" s="687">
        <f>VLOOKUP(AC11,Düngemittel!$B$6:$E$64,4,FALSE)*AD11</f>
        <v>0</v>
      </c>
      <c r="AH11" s="666"/>
      <c r="AI11" s="899"/>
      <c r="AJ11" s="887" t="s">
        <v>805</v>
      </c>
      <c r="AK11" s="978">
        <v>0</v>
      </c>
      <c r="AL11" s="687">
        <f>VLOOKUP(AJ11,Düngemittel!$B$6:$E$64,2,FALSE)*(VLOOKUP(AJ11,Düngemittel!$B$6:$E$64,3,FALSE))/100*AK11</f>
        <v>0</v>
      </c>
      <c r="AM11" s="687">
        <f>VLOOKUP(AJ11,Düngemittel!$B$6:$E$64,2,FALSE)*AK11</f>
        <v>0</v>
      </c>
      <c r="AN11" s="687">
        <f>VLOOKUP(AJ11,Düngemittel!$B$6:$E$64,4,FALSE)*AK11</f>
        <v>0</v>
      </c>
      <c r="AO11" s="666"/>
      <c r="AP11" s="899"/>
      <c r="AQ11" s="887" t="s">
        <v>805</v>
      </c>
      <c r="AR11" s="978">
        <v>0</v>
      </c>
      <c r="AS11" s="687">
        <f>VLOOKUP(AQ11,Düngemittel!$B$6:$E$64,2,FALSE)*(VLOOKUP(AQ11,Düngemittel!$B$6:$E$64,3,FALSE))/100*AR11</f>
        <v>0</v>
      </c>
      <c r="AT11" s="687">
        <f>VLOOKUP(AQ11,Düngemittel!$B$6:$E$64,2,FALSE)*AR11</f>
        <v>0</v>
      </c>
      <c r="AU11" s="687">
        <f>VLOOKUP(AQ11,Düngemittel!$B$6:$E$64,4,FALSE)*AR11</f>
        <v>0</v>
      </c>
      <c r="AV11" s="666"/>
      <c r="AW11" s="899"/>
      <c r="AX11" s="887" t="s">
        <v>805</v>
      </c>
      <c r="AY11" s="906">
        <v>0</v>
      </c>
      <c r="AZ11" s="687">
        <f>VLOOKUP(AX11,Düngemittel!$B$6:$E$64,2,FALSE)*(VLOOKUP(AX11,Düngemittel!$B$6:$E$64,3,FALSE))/100*AY11</f>
        <v>0</v>
      </c>
      <c r="BA11" s="687">
        <f>VLOOKUP(AX11,Düngemittel!$B$6:$E$64,2,FALSE)*AY11</f>
        <v>0</v>
      </c>
      <c r="BB11" s="774">
        <f>VLOOKUP(AX11,Düngemittel!$B$6:$E$64,4,FALSE)*AY11</f>
        <v>0</v>
      </c>
      <c r="BC11" s="956"/>
      <c r="BD11" s="853">
        <f t="shared" si="9"/>
        <v>0</v>
      </c>
      <c r="BE11" s="308">
        <f t="shared" si="10"/>
        <v>0</v>
      </c>
      <c r="BF11" s="853">
        <f t="shared" si="11"/>
        <v>0</v>
      </c>
      <c r="BG11" s="777">
        <f t="shared" si="12"/>
        <v>0</v>
      </c>
      <c r="BH11" s="308">
        <f t="shared" si="13"/>
        <v>0</v>
      </c>
      <c r="BI11" s="785"/>
      <c r="BJ11" s="853">
        <f t="shared" si="14"/>
        <v>0</v>
      </c>
      <c r="BK11" s="853">
        <f t="shared" si="15"/>
        <v>0</v>
      </c>
      <c r="BL11" s="853">
        <f t="shared" si="16"/>
        <v>0</v>
      </c>
      <c r="BM11" s="853">
        <f t="shared" si="17"/>
        <v>0</v>
      </c>
      <c r="BN11" s="853">
        <f t="shared" si="18"/>
        <v>0</v>
      </c>
      <c r="BO11" s="16"/>
      <c r="BP11" s="16"/>
      <c r="BQ11" s="984">
        <f t="shared" si="19"/>
        <v>4</v>
      </c>
      <c r="BR11" s="985">
        <f t="shared" si="20"/>
        <v>0</v>
      </c>
      <c r="BS11" s="919"/>
      <c r="BT11" s="974"/>
      <c r="BU11" s="918"/>
      <c r="BV11" s="918"/>
      <c r="BW11" s="918"/>
      <c r="BX11" s="774">
        <f t="shared" si="21"/>
        <v>0</v>
      </c>
      <c r="BY11" s="919"/>
      <c r="BZ11" s="974"/>
      <c r="CA11" s="918"/>
      <c r="CB11" s="918"/>
      <c r="CC11" s="918"/>
      <c r="CD11" s="774">
        <f t="shared" si="22"/>
        <v>0</v>
      </c>
      <c r="CE11" s="919"/>
      <c r="CF11" s="974"/>
      <c r="CG11" s="918"/>
      <c r="CH11" s="918"/>
      <c r="CI11" s="918"/>
      <c r="CJ11" s="774">
        <f t="shared" si="23"/>
        <v>0</v>
      </c>
      <c r="CK11" s="915"/>
      <c r="CM11" s="9"/>
      <c r="CN11"/>
    </row>
    <row r="12" spans="1:95" ht="23.25" customHeight="1" x14ac:dyDescent="0.25">
      <c r="A12" s="342">
        <v>5</v>
      </c>
      <c r="B12" s="1222">
        <v>0</v>
      </c>
      <c r="C12" s="451"/>
      <c r="D12" s="418">
        <f t="shared" si="24"/>
        <v>100</v>
      </c>
      <c r="E12" s="918">
        <v>0</v>
      </c>
      <c r="F12" s="1234">
        <v>0</v>
      </c>
      <c r="G12" s="1065">
        <v>0</v>
      </c>
      <c r="H12" s="1225">
        <v>0</v>
      </c>
      <c r="I12" s="421">
        <f t="shared" si="25"/>
        <v>0</v>
      </c>
      <c r="J12" s="492" t="s">
        <v>90</v>
      </c>
      <c r="K12" s="423">
        <f t="shared" si="0"/>
        <v>0</v>
      </c>
      <c r="L12" s="494" t="s">
        <v>240</v>
      </c>
      <c r="M12" s="425">
        <f t="shared" si="1"/>
        <v>10</v>
      </c>
      <c r="N12" s="1229"/>
      <c r="O12" s="585">
        <f t="shared" si="26"/>
        <v>0</v>
      </c>
      <c r="P12" s="583">
        <f t="shared" si="27"/>
        <v>0</v>
      </c>
      <c r="Q12" s="499">
        <f t="shared" si="28"/>
        <v>0</v>
      </c>
      <c r="R12" s="409">
        <f t="shared" si="29"/>
        <v>0</v>
      </c>
      <c r="S12" s="16"/>
      <c r="T12" s="958">
        <f t="shared" ref="T12:T31" si="30">$A12</f>
        <v>5</v>
      </c>
      <c r="U12" s="899"/>
      <c r="V12" s="887" t="s">
        <v>805</v>
      </c>
      <c r="W12" s="978">
        <v>0</v>
      </c>
      <c r="X12" s="687">
        <f>VLOOKUP(V12,Düngemittel!$B$6:$E$64,2,FALSE)*(VLOOKUP(V12,Düngemittel!$B$6:$E$64,3,FALSE))/100*W12</f>
        <v>0</v>
      </c>
      <c r="Y12" s="687">
        <f>VLOOKUP(V12,Düngemittel!$B$6:$E$64,2,FALSE)*W12</f>
        <v>0</v>
      </c>
      <c r="Z12" s="687">
        <f>VLOOKUP(V12,Düngemittel!$B$6:$E$64,4,FALSE)*W12</f>
        <v>0</v>
      </c>
      <c r="AA12" s="666"/>
      <c r="AB12" s="899"/>
      <c r="AC12" s="887" t="s">
        <v>805</v>
      </c>
      <c r="AD12" s="978">
        <v>0</v>
      </c>
      <c r="AE12" s="687">
        <f>VLOOKUP(AC12,Düngemittel!$B$6:$E$64,2,FALSE)*(VLOOKUP(AC12,Düngemittel!$B$6:$E$64,3,FALSE))/100*AD12</f>
        <v>0</v>
      </c>
      <c r="AF12" s="687">
        <f>VLOOKUP(AC12,Düngemittel!$B$6:$E$64,2,FALSE)*AD12</f>
        <v>0</v>
      </c>
      <c r="AG12" s="687">
        <f>VLOOKUP(AC12,Düngemittel!$B$6:$E$64,4,FALSE)*AD12</f>
        <v>0</v>
      </c>
      <c r="AH12" s="666"/>
      <c r="AI12" s="899"/>
      <c r="AJ12" s="887" t="s">
        <v>805</v>
      </c>
      <c r="AK12" s="978">
        <v>0</v>
      </c>
      <c r="AL12" s="687">
        <f>VLOOKUP(AJ12,Düngemittel!$B$6:$E$64,2,FALSE)*(VLOOKUP(AJ12,Düngemittel!$B$6:$E$64,3,FALSE))/100*AK12</f>
        <v>0</v>
      </c>
      <c r="AM12" s="687">
        <f>VLOOKUP(AJ12,Düngemittel!$B$6:$E$64,2,FALSE)*AK12</f>
        <v>0</v>
      </c>
      <c r="AN12" s="687">
        <f>VLOOKUP(AJ12,Düngemittel!$B$6:$E$64,4,FALSE)*AK12</f>
        <v>0</v>
      </c>
      <c r="AO12" s="666"/>
      <c r="AP12" s="899"/>
      <c r="AQ12" s="887" t="s">
        <v>805</v>
      </c>
      <c r="AR12" s="978">
        <v>0</v>
      </c>
      <c r="AS12" s="687">
        <f>VLOOKUP(AQ12,Düngemittel!$B$6:$E$64,2,FALSE)*(VLOOKUP(AQ12,Düngemittel!$B$6:$E$64,3,FALSE))/100*AR12</f>
        <v>0</v>
      </c>
      <c r="AT12" s="687">
        <f>VLOOKUP(AQ12,Düngemittel!$B$6:$E$64,2,FALSE)*AR12</f>
        <v>0</v>
      </c>
      <c r="AU12" s="687">
        <f>VLOOKUP(AQ12,Düngemittel!$B$6:$E$64,4,FALSE)*AR12</f>
        <v>0</v>
      </c>
      <c r="AV12" s="666"/>
      <c r="AW12" s="899"/>
      <c r="AX12" s="887" t="s">
        <v>805</v>
      </c>
      <c r="AY12" s="978">
        <v>0</v>
      </c>
      <c r="AZ12" s="687">
        <f>VLOOKUP(AX12,Düngemittel!$B$6:$E$64,2,FALSE)*(VLOOKUP(AX12,Düngemittel!$B$6:$E$64,3,FALSE))/100*AY12</f>
        <v>0</v>
      </c>
      <c r="BA12" s="687">
        <f>VLOOKUP(AX12,Düngemittel!$B$6:$E$64,2,FALSE)*AY12</f>
        <v>0</v>
      </c>
      <c r="BB12" s="774">
        <f>VLOOKUP(AX12,Düngemittel!$B$6:$E$64,4,FALSE)*AY12</f>
        <v>0</v>
      </c>
      <c r="BC12" s="956"/>
      <c r="BD12" s="853">
        <f t="shared" si="9"/>
        <v>0</v>
      </c>
      <c r="BE12" s="308">
        <f t="shared" si="10"/>
        <v>0</v>
      </c>
      <c r="BF12" s="853">
        <f t="shared" si="11"/>
        <v>0</v>
      </c>
      <c r="BG12" s="777">
        <f t="shared" si="12"/>
        <v>0</v>
      </c>
      <c r="BH12" s="308">
        <f t="shared" si="13"/>
        <v>0</v>
      </c>
      <c r="BI12" s="785"/>
      <c r="BJ12" s="853">
        <f t="shared" si="14"/>
        <v>0</v>
      </c>
      <c r="BK12" s="853">
        <f t="shared" si="15"/>
        <v>0</v>
      </c>
      <c r="BL12" s="853">
        <f t="shared" si="16"/>
        <v>0</v>
      </c>
      <c r="BM12" s="853">
        <f t="shared" si="17"/>
        <v>0</v>
      </c>
      <c r="BN12" s="853">
        <f t="shared" si="18"/>
        <v>0</v>
      </c>
      <c r="BO12" s="16"/>
      <c r="BP12" s="16"/>
      <c r="BQ12" s="984">
        <f t="shared" si="19"/>
        <v>5</v>
      </c>
      <c r="BR12" s="985">
        <f t="shared" si="20"/>
        <v>0</v>
      </c>
      <c r="BS12" s="919"/>
      <c r="BT12" s="974"/>
      <c r="BU12" s="918"/>
      <c r="BV12" s="918"/>
      <c r="BW12" s="918"/>
      <c r="BX12" s="774">
        <f t="shared" si="21"/>
        <v>0</v>
      </c>
      <c r="BY12" s="919"/>
      <c r="BZ12" s="974"/>
      <c r="CA12" s="918"/>
      <c r="CB12" s="918"/>
      <c r="CC12" s="918"/>
      <c r="CD12" s="774">
        <f t="shared" si="22"/>
        <v>0</v>
      </c>
      <c r="CE12" s="919"/>
      <c r="CF12" s="974"/>
      <c r="CG12" s="918"/>
      <c r="CH12" s="918"/>
      <c r="CI12" s="918"/>
      <c r="CJ12" s="774">
        <f t="shared" si="23"/>
        <v>0</v>
      </c>
      <c r="CK12" s="915"/>
    </row>
    <row r="13" spans="1:95" ht="23.25" customHeight="1" x14ac:dyDescent="0.25">
      <c r="A13" s="342">
        <v>6</v>
      </c>
      <c r="B13" s="1222">
        <v>0</v>
      </c>
      <c r="C13" s="451"/>
      <c r="D13" s="418">
        <f t="shared" si="24"/>
        <v>100</v>
      </c>
      <c r="E13" s="918">
        <v>0</v>
      </c>
      <c r="F13" s="1234">
        <v>0</v>
      </c>
      <c r="G13" s="1065">
        <v>0</v>
      </c>
      <c r="H13" s="1225">
        <v>0</v>
      </c>
      <c r="I13" s="421">
        <f t="shared" si="25"/>
        <v>0</v>
      </c>
      <c r="J13" s="492" t="s">
        <v>90</v>
      </c>
      <c r="K13" s="423">
        <f t="shared" si="0"/>
        <v>0</v>
      </c>
      <c r="L13" s="494" t="s">
        <v>240</v>
      </c>
      <c r="M13" s="425">
        <f t="shared" si="1"/>
        <v>10</v>
      </c>
      <c r="N13" s="1229"/>
      <c r="O13" s="585">
        <f t="shared" si="26"/>
        <v>0</v>
      </c>
      <c r="P13" s="583">
        <f t="shared" si="27"/>
        <v>0</v>
      </c>
      <c r="Q13" s="499">
        <f t="shared" si="28"/>
        <v>0</v>
      </c>
      <c r="R13" s="409">
        <f t="shared" si="29"/>
        <v>0</v>
      </c>
      <c r="S13" s="16"/>
      <c r="T13" s="958">
        <f t="shared" si="30"/>
        <v>6</v>
      </c>
      <c r="U13" s="899"/>
      <c r="V13" s="887" t="s">
        <v>805</v>
      </c>
      <c r="W13" s="978">
        <v>0</v>
      </c>
      <c r="X13" s="687">
        <f>VLOOKUP(V13,Düngemittel!$B$6:$E$64,2,FALSE)*(VLOOKUP(V13,Düngemittel!$B$6:$E$64,3,FALSE))/100*W13</f>
        <v>0</v>
      </c>
      <c r="Y13" s="687">
        <f>VLOOKUP(V13,Düngemittel!$B$6:$E$64,2,FALSE)*W13</f>
        <v>0</v>
      </c>
      <c r="Z13" s="687">
        <f>VLOOKUP(V13,Düngemittel!$B$6:$E$64,4,FALSE)*W13</f>
        <v>0</v>
      </c>
      <c r="AA13" s="666"/>
      <c r="AB13" s="899"/>
      <c r="AC13" s="887" t="s">
        <v>805</v>
      </c>
      <c r="AD13" s="978">
        <v>0</v>
      </c>
      <c r="AE13" s="687">
        <f>VLOOKUP(AC13,Düngemittel!$B$6:$E$64,2,FALSE)*(VLOOKUP(AC13,Düngemittel!$B$6:$E$64,3,FALSE))/100*AD13</f>
        <v>0</v>
      </c>
      <c r="AF13" s="687">
        <f>VLOOKUP(AC13,Düngemittel!$B$6:$E$64,2,FALSE)*AD13</f>
        <v>0</v>
      </c>
      <c r="AG13" s="687">
        <f>VLOOKUP(AC13,Düngemittel!$B$6:$E$64,4,FALSE)*AD13</f>
        <v>0</v>
      </c>
      <c r="AH13" s="666"/>
      <c r="AI13" s="899"/>
      <c r="AJ13" s="887" t="s">
        <v>805</v>
      </c>
      <c r="AK13" s="978">
        <v>0</v>
      </c>
      <c r="AL13" s="687">
        <f>VLOOKUP(AJ13,Düngemittel!$B$6:$E$64,2,FALSE)*(VLOOKUP(AJ13,Düngemittel!$B$6:$E$64,3,FALSE))/100*AK13</f>
        <v>0</v>
      </c>
      <c r="AM13" s="687">
        <f>VLOOKUP(AJ13,Düngemittel!$B$6:$E$64,2,FALSE)*AK13</f>
        <v>0</v>
      </c>
      <c r="AN13" s="687">
        <f>VLOOKUP(AJ13,Düngemittel!$B$6:$E$64,4,FALSE)*AK13</f>
        <v>0</v>
      </c>
      <c r="AO13" s="666"/>
      <c r="AP13" s="899"/>
      <c r="AQ13" s="887" t="s">
        <v>805</v>
      </c>
      <c r="AR13" s="978">
        <v>0</v>
      </c>
      <c r="AS13" s="687">
        <f>VLOOKUP(AQ13,Düngemittel!$B$6:$E$64,2,FALSE)*(VLOOKUP(AQ13,Düngemittel!$B$6:$E$64,3,FALSE))/100*AR13</f>
        <v>0</v>
      </c>
      <c r="AT13" s="687">
        <f>VLOOKUP(AQ13,Düngemittel!$B$6:$E$64,2,FALSE)*AR13</f>
        <v>0</v>
      </c>
      <c r="AU13" s="687">
        <f>VLOOKUP(AQ13,Düngemittel!$B$6:$E$64,4,FALSE)*AR13</f>
        <v>0</v>
      </c>
      <c r="AV13" s="666"/>
      <c r="AW13" s="899"/>
      <c r="AX13" s="887" t="s">
        <v>805</v>
      </c>
      <c r="AY13" s="978">
        <v>0</v>
      </c>
      <c r="AZ13" s="687">
        <f>VLOOKUP(AX13,Düngemittel!$B$6:$E$64,2,FALSE)*(VLOOKUP(AX13,Düngemittel!$B$6:$E$64,3,FALSE))/100*AY13</f>
        <v>0</v>
      </c>
      <c r="BA13" s="687">
        <f>VLOOKUP(AX13,Düngemittel!$B$6:$E$64,2,FALSE)*AY13</f>
        <v>0</v>
      </c>
      <c r="BB13" s="774">
        <f>VLOOKUP(AX13,Düngemittel!$B$6:$E$64,4,FALSE)*AY13</f>
        <v>0</v>
      </c>
      <c r="BC13" s="956"/>
      <c r="BD13" s="853">
        <f t="shared" si="9"/>
        <v>0</v>
      </c>
      <c r="BE13" s="308">
        <f t="shared" si="10"/>
        <v>0</v>
      </c>
      <c r="BF13" s="853">
        <f t="shared" si="11"/>
        <v>0</v>
      </c>
      <c r="BG13" s="777">
        <f t="shared" si="12"/>
        <v>0</v>
      </c>
      <c r="BH13" s="308">
        <f t="shared" si="13"/>
        <v>0</v>
      </c>
      <c r="BI13" s="785"/>
      <c r="BJ13" s="853">
        <f t="shared" si="14"/>
        <v>0</v>
      </c>
      <c r="BK13" s="853">
        <f t="shared" si="15"/>
        <v>0</v>
      </c>
      <c r="BL13" s="853">
        <f t="shared" si="16"/>
        <v>0</v>
      </c>
      <c r="BM13" s="853">
        <f t="shared" si="17"/>
        <v>0</v>
      </c>
      <c r="BN13" s="853">
        <f t="shared" si="18"/>
        <v>0</v>
      </c>
      <c r="BO13" s="16"/>
      <c r="BP13" s="16"/>
      <c r="BQ13" s="984">
        <f t="shared" si="19"/>
        <v>6</v>
      </c>
      <c r="BR13" s="985">
        <f t="shared" si="20"/>
        <v>0</v>
      </c>
      <c r="BS13" s="919"/>
      <c r="BT13" s="974"/>
      <c r="BU13" s="918"/>
      <c r="BV13" s="918"/>
      <c r="BW13" s="918"/>
      <c r="BX13" s="774">
        <f t="shared" si="21"/>
        <v>0</v>
      </c>
      <c r="BY13" s="919"/>
      <c r="BZ13" s="974"/>
      <c r="CA13" s="918"/>
      <c r="CB13" s="918"/>
      <c r="CC13" s="918"/>
      <c r="CD13" s="774">
        <f t="shared" si="22"/>
        <v>0</v>
      </c>
      <c r="CE13" s="919"/>
      <c r="CF13" s="974"/>
      <c r="CG13" s="918"/>
      <c r="CH13" s="918"/>
      <c r="CI13" s="918"/>
      <c r="CJ13" s="774">
        <f t="shared" si="23"/>
        <v>0</v>
      </c>
      <c r="CK13" s="915"/>
    </row>
    <row r="14" spans="1:95" ht="23.25" customHeight="1" x14ac:dyDescent="0.25">
      <c r="A14" s="342">
        <v>7</v>
      </c>
      <c r="B14" s="1222">
        <v>0</v>
      </c>
      <c r="C14" s="451"/>
      <c r="D14" s="418">
        <f t="shared" si="24"/>
        <v>100</v>
      </c>
      <c r="E14" s="918">
        <v>0</v>
      </c>
      <c r="F14" s="1234">
        <v>0</v>
      </c>
      <c r="G14" s="1065">
        <v>0</v>
      </c>
      <c r="H14" s="1225">
        <v>0</v>
      </c>
      <c r="I14" s="421">
        <f t="shared" si="25"/>
        <v>0</v>
      </c>
      <c r="J14" s="492" t="s">
        <v>90</v>
      </c>
      <c r="K14" s="423">
        <f t="shared" si="0"/>
        <v>0</v>
      </c>
      <c r="L14" s="494" t="s">
        <v>240</v>
      </c>
      <c r="M14" s="425">
        <f t="shared" si="1"/>
        <v>10</v>
      </c>
      <c r="N14" s="1229"/>
      <c r="O14" s="585">
        <f t="shared" si="26"/>
        <v>0</v>
      </c>
      <c r="P14" s="583">
        <f t="shared" si="27"/>
        <v>0</v>
      </c>
      <c r="Q14" s="499">
        <f t="shared" si="28"/>
        <v>0</v>
      </c>
      <c r="R14" s="409">
        <f t="shared" si="29"/>
        <v>0</v>
      </c>
      <c r="S14" s="16"/>
      <c r="T14" s="958">
        <f t="shared" si="30"/>
        <v>7</v>
      </c>
      <c r="U14" s="899"/>
      <c r="V14" s="887" t="s">
        <v>805</v>
      </c>
      <c r="W14" s="978">
        <v>0</v>
      </c>
      <c r="X14" s="687">
        <f>VLOOKUP(V14,Düngemittel!$B$6:$E$64,2,FALSE)*(VLOOKUP(V14,Düngemittel!$B$6:$E$64,3,FALSE))/100*W14</f>
        <v>0</v>
      </c>
      <c r="Y14" s="687">
        <f>VLOOKUP(V14,Düngemittel!$B$6:$E$64,2,FALSE)*W14</f>
        <v>0</v>
      </c>
      <c r="Z14" s="687">
        <f>VLOOKUP(V14,Düngemittel!$B$6:$E$64,4,FALSE)*W14</f>
        <v>0</v>
      </c>
      <c r="AA14" s="666"/>
      <c r="AB14" s="899"/>
      <c r="AC14" s="887" t="s">
        <v>805</v>
      </c>
      <c r="AD14" s="978">
        <v>0</v>
      </c>
      <c r="AE14" s="687">
        <f>VLOOKUP(AC14,Düngemittel!$B$6:$E$64,2,FALSE)*(VLOOKUP(AC14,Düngemittel!$B$6:$E$64,3,FALSE))/100*AD14</f>
        <v>0</v>
      </c>
      <c r="AF14" s="687">
        <f>VLOOKUP(AC14,Düngemittel!$B$6:$E$64,2,FALSE)*AD14</f>
        <v>0</v>
      </c>
      <c r="AG14" s="687">
        <f>VLOOKUP(AC14,Düngemittel!$B$6:$E$64,4,FALSE)*AD14</f>
        <v>0</v>
      </c>
      <c r="AH14" s="666"/>
      <c r="AI14" s="899"/>
      <c r="AJ14" s="887" t="s">
        <v>805</v>
      </c>
      <c r="AK14" s="978">
        <v>0</v>
      </c>
      <c r="AL14" s="687">
        <f>VLOOKUP(AJ14,Düngemittel!$B$6:$E$64,2,FALSE)*(VLOOKUP(AJ14,Düngemittel!$B$6:$E$64,3,FALSE))/100*AK14</f>
        <v>0</v>
      </c>
      <c r="AM14" s="687">
        <f>VLOOKUP(AJ14,Düngemittel!$B$6:$E$64,2,FALSE)*AK14</f>
        <v>0</v>
      </c>
      <c r="AN14" s="687">
        <f>VLOOKUP(AJ14,Düngemittel!$B$6:$E$64,4,FALSE)*AK14</f>
        <v>0</v>
      </c>
      <c r="AO14" s="666"/>
      <c r="AP14" s="899"/>
      <c r="AQ14" s="887" t="s">
        <v>805</v>
      </c>
      <c r="AR14" s="978">
        <v>0</v>
      </c>
      <c r="AS14" s="687">
        <f>VLOOKUP(AQ14,Düngemittel!$B$6:$E$64,2,FALSE)*(VLOOKUP(AQ14,Düngemittel!$B$6:$E$64,3,FALSE))/100*AR14</f>
        <v>0</v>
      </c>
      <c r="AT14" s="687">
        <f>VLOOKUP(AQ14,Düngemittel!$B$6:$E$64,2,FALSE)*AR14</f>
        <v>0</v>
      </c>
      <c r="AU14" s="687">
        <f>VLOOKUP(AQ14,Düngemittel!$B$6:$E$64,4,FALSE)*AR14</f>
        <v>0</v>
      </c>
      <c r="AV14" s="666"/>
      <c r="AW14" s="899"/>
      <c r="AX14" s="887" t="s">
        <v>805</v>
      </c>
      <c r="AY14" s="978">
        <v>0</v>
      </c>
      <c r="AZ14" s="687">
        <f>VLOOKUP(AX14,Düngemittel!$B$6:$E$64,2,FALSE)*(VLOOKUP(AX14,Düngemittel!$B$6:$E$64,3,FALSE))/100*AY14</f>
        <v>0</v>
      </c>
      <c r="BA14" s="687">
        <f>VLOOKUP(AX14,Düngemittel!$B$6:$E$64,2,FALSE)*AY14</f>
        <v>0</v>
      </c>
      <c r="BB14" s="774">
        <f>VLOOKUP(AX14,Düngemittel!$B$6:$E$64,4,FALSE)*AY14</f>
        <v>0</v>
      </c>
      <c r="BC14" s="956"/>
      <c r="BD14" s="853">
        <f t="shared" si="9"/>
        <v>0</v>
      </c>
      <c r="BE14" s="308">
        <f t="shared" si="10"/>
        <v>0</v>
      </c>
      <c r="BF14" s="853">
        <f t="shared" si="11"/>
        <v>0</v>
      </c>
      <c r="BG14" s="777">
        <f t="shared" si="12"/>
        <v>0</v>
      </c>
      <c r="BH14" s="308">
        <f t="shared" si="13"/>
        <v>0</v>
      </c>
      <c r="BI14" s="785"/>
      <c r="BJ14" s="853">
        <f t="shared" si="14"/>
        <v>0</v>
      </c>
      <c r="BK14" s="853">
        <f t="shared" si="15"/>
        <v>0</v>
      </c>
      <c r="BL14" s="853">
        <f t="shared" si="16"/>
        <v>0</v>
      </c>
      <c r="BM14" s="853">
        <f t="shared" si="17"/>
        <v>0</v>
      </c>
      <c r="BN14" s="853">
        <f t="shared" si="18"/>
        <v>0</v>
      </c>
      <c r="BO14" s="16"/>
      <c r="BP14" s="16"/>
      <c r="BQ14" s="984">
        <f t="shared" si="19"/>
        <v>7</v>
      </c>
      <c r="BR14" s="985">
        <f t="shared" si="20"/>
        <v>0</v>
      </c>
      <c r="BS14" s="919"/>
      <c r="BT14" s="974"/>
      <c r="BU14" s="918"/>
      <c r="BV14" s="918"/>
      <c r="BW14" s="918"/>
      <c r="BX14" s="774">
        <f t="shared" si="21"/>
        <v>0</v>
      </c>
      <c r="BY14" s="919"/>
      <c r="BZ14" s="974"/>
      <c r="CA14" s="918"/>
      <c r="CB14" s="918"/>
      <c r="CC14" s="918"/>
      <c r="CD14" s="774">
        <f t="shared" si="22"/>
        <v>0</v>
      </c>
      <c r="CE14" s="919"/>
      <c r="CF14" s="974"/>
      <c r="CG14" s="918"/>
      <c r="CH14" s="918"/>
      <c r="CI14" s="918"/>
      <c r="CJ14" s="774">
        <f t="shared" si="23"/>
        <v>0</v>
      </c>
      <c r="CK14" s="915"/>
    </row>
    <row r="15" spans="1:95" ht="23.25" customHeight="1" x14ac:dyDescent="0.25">
      <c r="A15" s="342">
        <v>8</v>
      </c>
      <c r="B15" s="1222">
        <v>0</v>
      </c>
      <c r="C15" s="451"/>
      <c r="D15" s="418">
        <f t="shared" si="4"/>
        <v>100</v>
      </c>
      <c r="E15" s="918">
        <v>0</v>
      </c>
      <c r="F15" s="1234">
        <v>0</v>
      </c>
      <c r="G15" s="1065">
        <v>0</v>
      </c>
      <c r="H15" s="1225">
        <v>0</v>
      </c>
      <c r="I15" s="421">
        <f t="shared" si="5"/>
        <v>0</v>
      </c>
      <c r="J15" s="492" t="s">
        <v>90</v>
      </c>
      <c r="K15" s="423">
        <f t="shared" si="0"/>
        <v>0</v>
      </c>
      <c r="L15" s="494" t="s">
        <v>240</v>
      </c>
      <c r="M15" s="425">
        <f t="shared" si="1"/>
        <v>10</v>
      </c>
      <c r="N15" s="1229"/>
      <c r="O15" s="585">
        <f t="shared" si="6"/>
        <v>0</v>
      </c>
      <c r="P15" s="583">
        <f t="shared" si="2"/>
        <v>0</v>
      </c>
      <c r="Q15" s="499">
        <f t="shared" si="7"/>
        <v>0</v>
      </c>
      <c r="R15" s="409">
        <f t="shared" si="8"/>
        <v>0</v>
      </c>
      <c r="S15" s="16"/>
      <c r="T15" s="958">
        <f t="shared" si="30"/>
        <v>8</v>
      </c>
      <c r="U15" s="899"/>
      <c r="V15" s="887" t="s">
        <v>805</v>
      </c>
      <c r="W15" s="978">
        <v>0</v>
      </c>
      <c r="X15" s="687">
        <f>VLOOKUP(V15,Düngemittel!$B$6:$E$64,2,FALSE)*(VLOOKUP(V15,Düngemittel!$B$6:$E$64,3,FALSE))/100*W15</f>
        <v>0</v>
      </c>
      <c r="Y15" s="687">
        <f>VLOOKUP(V15,Düngemittel!$B$6:$E$64,2,FALSE)*W15</f>
        <v>0</v>
      </c>
      <c r="Z15" s="687">
        <f>VLOOKUP(V15,Düngemittel!$B$6:$E$64,4,FALSE)*W15</f>
        <v>0</v>
      </c>
      <c r="AA15" s="666"/>
      <c r="AB15" s="899"/>
      <c r="AC15" s="887" t="s">
        <v>805</v>
      </c>
      <c r="AD15" s="978">
        <v>0</v>
      </c>
      <c r="AE15" s="687">
        <f>VLOOKUP(AC15,Düngemittel!$B$6:$E$64,2,FALSE)*(VLOOKUP(AC15,Düngemittel!$B$6:$E$64,3,FALSE))/100*AD15</f>
        <v>0</v>
      </c>
      <c r="AF15" s="687">
        <f>VLOOKUP(AC15,Düngemittel!$B$6:$E$64,2,FALSE)*AD15</f>
        <v>0</v>
      </c>
      <c r="AG15" s="687">
        <f>VLOOKUP(AC15,Düngemittel!$B$6:$E$64,4,FALSE)*AD15</f>
        <v>0</v>
      </c>
      <c r="AH15" s="666"/>
      <c r="AI15" s="899"/>
      <c r="AJ15" s="887" t="s">
        <v>805</v>
      </c>
      <c r="AK15" s="978">
        <v>0</v>
      </c>
      <c r="AL15" s="687">
        <f>VLOOKUP(AJ15,Düngemittel!$B$6:$E$64,2,FALSE)*(VLOOKUP(AJ15,Düngemittel!$B$6:$E$64,3,FALSE))/100*AK15</f>
        <v>0</v>
      </c>
      <c r="AM15" s="687">
        <f>VLOOKUP(AJ15,Düngemittel!$B$6:$E$64,2,FALSE)*AK15</f>
        <v>0</v>
      </c>
      <c r="AN15" s="687">
        <f>VLOOKUP(AJ15,Düngemittel!$B$6:$E$64,4,FALSE)*AK15</f>
        <v>0</v>
      </c>
      <c r="AO15" s="666"/>
      <c r="AP15" s="899"/>
      <c r="AQ15" s="887" t="s">
        <v>805</v>
      </c>
      <c r="AR15" s="978">
        <v>0</v>
      </c>
      <c r="AS15" s="687">
        <f>VLOOKUP(AQ15,Düngemittel!$B$6:$E$64,2,FALSE)*(VLOOKUP(AQ15,Düngemittel!$B$6:$E$64,3,FALSE))/100*AR15</f>
        <v>0</v>
      </c>
      <c r="AT15" s="687">
        <f>VLOOKUP(AQ15,Düngemittel!$B$6:$E$64,2,FALSE)*AR15</f>
        <v>0</v>
      </c>
      <c r="AU15" s="687">
        <f>VLOOKUP(AQ15,Düngemittel!$B$6:$E$64,4,FALSE)*AR15</f>
        <v>0</v>
      </c>
      <c r="AV15" s="666"/>
      <c r="AW15" s="899"/>
      <c r="AX15" s="887" t="s">
        <v>805</v>
      </c>
      <c r="AY15" s="978">
        <v>0</v>
      </c>
      <c r="AZ15" s="687">
        <f>VLOOKUP(AX15,Düngemittel!$B$6:$E$64,2,FALSE)*(VLOOKUP(AX15,Düngemittel!$B$6:$E$64,3,FALSE))/100*AY15</f>
        <v>0</v>
      </c>
      <c r="BA15" s="687">
        <f>VLOOKUP(AX15,Düngemittel!$B$6:$E$64,2,FALSE)*AY15</f>
        <v>0</v>
      </c>
      <c r="BB15" s="774">
        <f>VLOOKUP(AX15,Düngemittel!$B$6:$E$64,4,FALSE)*AY15</f>
        <v>0</v>
      </c>
      <c r="BC15" s="956"/>
      <c r="BD15" s="853">
        <f t="shared" si="9"/>
        <v>0</v>
      </c>
      <c r="BE15" s="308">
        <f t="shared" si="10"/>
        <v>0</v>
      </c>
      <c r="BF15" s="853">
        <f t="shared" si="11"/>
        <v>0</v>
      </c>
      <c r="BG15" s="777">
        <f t="shared" si="12"/>
        <v>0</v>
      </c>
      <c r="BH15" s="308">
        <f t="shared" si="13"/>
        <v>0</v>
      </c>
      <c r="BI15" s="785"/>
      <c r="BJ15" s="853">
        <f t="shared" si="14"/>
        <v>0</v>
      </c>
      <c r="BK15" s="853">
        <f t="shared" si="15"/>
        <v>0</v>
      </c>
      <c r="BL15" s="853">
        <f t="shared" si="16"/>
        <v>0</v>
      </c>
      <c r="BM15" s="853">
        <f t="shared" si="17"/>
        <v>0</v>
      </c>
      <c r="BN15" s="853">
        <f t="shared" si="18"/>
        <v>0</v>
      </c>
      <c r="BO15" s="16"/>
      <c r="BP15" s="16"/>
      <c r="BQ15" s="984">
        <f t="shared" si="19"/>
        <v>8</v>
      </c>
      <c r="BR15" s="985">
        <f t="shared" si="20"/>
        <v>0</v>
      </c>
      <c r="BS15" s="919"/>
      <c r="BT15" s="974"/>
      <c r="BU15" s="918"/>
      <c r="BV15" s="918"/>
      <c r="BW15" s="918"/>
      <c r="BX15" s="774">
        <f t="shared" si="21"/>
        <v>0</v>
      </c>
      <c r="BY15" s="919"/>
      <c r="BZ15" s="974"/>
      <c r="CA15" s="918"/>
      <c r="CB15" s="918"/>
      <c r="CC15" s="918"/>
      <c r="CD15" s="774">
        <f t="shared" si="22"/>
        <v>0</v>
      </c>
      <c r="CE15" s="919"/>
      <c r="CF15" s="974"/>
      <c r="CG15" s="918"/>
      <c r="CH15" s="918"/>
      <c r="CI15" s="918"/>
      <c r="CJ15" s="774">
        <f t="shared" si="23"/>
        <v>0</v>
      </c>
      <c r="CK15" s="915"/>
    </row>
    <row r="16" spans="1:95" ht="23.25" customHeight="1" x14ac:dyDescent="0.25">
      <c r="A16" s="342">
        <v>9</v>
      </c>
      <c r="B16" s="1222">
        <v>0</v>
      </c>
      <c r="C16" s="451"/>
      <c r="D16" s="418">
        <f t="shared" si="4"/>
        <v>100</v>
      </c>
      <c r="E16" s="918">
        <v>0</v>
      </c>
      <c r="F16" s="1234">
        <v>0</v>
      </c>
      <c r="G16" s="1065">
        <v>0</v>
      </c>
      <c r="H16" s="1225">
        <v>0</v>
      </c>
      <c r="I16" s="421">
        <f t="shared" si="5"/>
        <v>0</v>
      </c>
      <c r="J16" s="492" t="s">
        <v>90</v>
      </c>
      <c r="K16" s="423">
        <f t="shared" si="0"/>
        <v>0</v>
      </c>
      <c r="L16" s="494" t="s">
        <v>240</v>
      </c>
      <c r="M16" s="425">
        <f t="shared" si="1"/>
        <v>10</v>
      </c>
      <c r="N16" s="1229"/>
      <c r="O16" s="585">
        <f t="shared" si="6"/>
        <v>0</v>
      </c>
      <c r="P16" s="583">
        <f t="shared" si="2"/>
        <v>0</v>
      </c>
      <c r="Q16" s="499">
        <f t="shared" si="7"/>
        <v>0</v>
      </c>
      <c r="R16" s="409">
        <f t="shared" si="8"/>
        <v>0</v>
      </c>
      <c r="S16" s="16"/>
      <c r="T16" s="958">
        <f t="shared" si="30"/>
        <v>9</v>
      </c>
      <c r="U16" s="899"/>
      <c r="V16" s="887" t="s">
        <v>805</v>
      </c>
      <c r="W16" s="978">
        <v>0</v>
      </c>
      <c r="X16" s="687">
        <f>VLOOKUP(V16,Düngemittel!$B$6:$E$64,2,FALSE)*(VLOOKUP(V16,Düngemittel!$B$6:$E$64,3,FALSE))/100*W16</f>
        <v>0</v>
      </c>
      <c r="Y16" s="687">
        <f>VLOOKUP(V16,Düngemittel!$B$6:$E$64,2,FALSE)*W16</f>
        <v>0</v>
      </c>
      <c r="Z16" s="687">
        <f>VLOOKUP(V16,Düngemittel!$B$6:$E$64,4,FALSE)*W16</f>
        <v>0</v>
      </c>
      <c r="AA16" s="666"/>
      <c r="AB16" s="899"/>
      <c r="AC16" s="887" t="s">
        <v>805</v>
      </c>
      <c r="AD16" s="978">
        <v>0</v>
      </c>
      <c r="AE16" s="687">
        <f>VLOOKUP(AC16,Düngemittel!$B$6:$E$64,2,FALSE)*(VLOOKUP(AC16,Düngemittel!$B$6:$E$64,3,FALSE))/100*AD16</f>
        <v>0</v>
      </c>
      <c r="AF16" s="687">
        <f>VLOOKUP(AC16,Düngemittel!$B$6:$E$64,2,FALSE)*AD16</f>
        <v>0</v>
      </c>
      <c r="AG16" s="687">
        <f>VLOOKUP(AC16,Düngemittel!$B$6:$E$64,4,FALSE)*AD16</f>
        <v>0</v>
      </c>
      <c r="AH16" s="666"/>
      <c r="AI16" s="899"/>
      <c r="AJ16" s="887" t="s">
        <v>805</v>
      </c>
      <c r="AK16" s="978">
        <v>0</v>
      </c>
      <c r="AL16" s="687">
        <f>VLOOKUP(AJ16,Düngemittel!$B$6:$E$64,2,FALSE)*(VLOOKUP(AJ16,Düngemittel!$B$6:$E$64,3,FALSE))/100*AK16</f>
        <v>0</v>
      </c>
      <c r="AM16" s="687">
        <f>VLOOKUP(AJ16,Düngemittel!$B$6:$E$64,2,FALSE)*AK16</f>
        <v>0</v>
      </c>
      <c r="AN16" s="687">
        <f>VLOOKUP(AJ16,Düngemittel!$B$6:$E$64,4,FALSE)*AK16</f>
        <v>0</v>
      </c>
      <c r="AO16" s="666"/>
      <c r="AP16" s="899"/>
      <c r="AQ16" s="887" t="s">
        <v>805</v>
      </c>
      <c r="AR16" s="978">
        <v>0</v>
      </c>
      <c r="AS16" s="687">
        <f>VLOOKUP(AQ16,Düngemittel!$B$6:$E$64,2,FALSE)*(VLOOKUP(AQ16,Düngemittel!$B$6:$E$64,3,FALSE))/100*AR16</f>
        <v>0</v>
      </c>
      <c r="AT16" s="687">
        <f>VLOOKUP(AQ16,Düngemittel!$B$6:$E$64,2,FALSE)*AR16</f>
        <v>0</v>
      </c>
      <c r="AU16" s="687">
        <f>VLOOKUP(AQ16,Düngemittel!$B$6:$E$64,4,FALSE)*AR16</f>
        <v>0</v>
      </c>
      <c r="AV16" s="666"/>
      <c r="AW16" s="899"/>
      <c r="AX16" s="887" t="s">
        <v>805</v>
      </c>
      <c r="AY16" s="978">
        <v>0</v>
      </c>
      <c r="AZ16" s="687">
        <f>VLOOKUP(AX16,Düngemittel!$B$6:$E$64,2,FALSE)*(VLOOKUP(AX16,Düngemittel!$B$6:$E$64,3,FALSE))/100*AY16</f>
        <v>0</v>
      </c>
      <c r="BA16" s="687">
        <f>VLOOKUP(AX16,Düngemittel!$B$6:$E$64,2,FALSE)*AY16</f>
        <v>0</v>
      </c>
      <c r="BB16" s="774">
        <f>VLOOKUP(AX16,Düngemittel!$B$6:$E$64,4,FALSE)*AY16</f>
        <v>0</v>
      </c>
      <c r="BC16" s="956"/>
      <c r="BD16" s="853">
        <f t="shared" si="9"/>
        <v>0</v>
      </c>
      <c r="BE16" s="308">
        <f t="shared" si="10"/>
        <v>0</v>
      </c>
      <c r="BF16" s="853">
        <f t="shared" si="11"/>
        <v>0</v>
      </c>
      <c r="BG16" s="777">
        <f t="shared" si="12"/>
        <v>0</v>
      </c>
      <c r="BH16" s="308">
        <f t="shared" si="13"/>
        <v>0</v>
      </c>
      <c r="BI16" s="785"/>
      <c r="BJ16" s="853">
        <f t="shared" si="14"/>
        <v>0</v>
      </c>
      <c r="BK16" s="853">
        <f t="shared" si="15"/>
        <v>0</v>
      </c>
      <c r="BL16" s="853">
        <f t="shared" si="16"/>
        <v>0</v>
      </c>
      <c r="BM16" s="853">
        <f t="shared" si="17"/>
        <v>0</v>
      </c>
      <c r="BN16" s="853">
        <f t="shared" si="18"/>
        <v>0</v>
      </c>
      <c r="BO16" s="16"/>
      <c r="BP16" s="16"/>
      <c r="BQ16" s="984">
        <f t="shared" si="19"/>
        <v>9</v>
      </c>
      <c r="BR16" s="985">
        <f t="shared" si="20"/>
        <v>0</v>
      </c>
      <c r="BS16" s="919"/>
      <c r="BT16" s="974"/>
      <c r="BU16" s="918"/>
      <c r="BV16" s="918"/>
      <c r="BW16" s="918"/>
      <c r="BX16" s="774">
        <f t="shared" si="21"/>
        <v>0</v>
      </c>
      <c r="BY16" s="919"/>
      <c r="BZ16" s="974"/>
      <c r="CA16" s="918"/>
      <c r="CB16" s="918"/>
      <c r="CC16" s="918"/>
      <c r="CD16" s="774">
        <f t="shared" si="22"/>
        <v>0</v>
      </c>
      <c r="CE16" s="919"/>
      <c r="CF16" s="974"/>
      <c r="CG16" s="918"/>
      <c r="CH16" s="918"/>
      <c r="CI16" s="918"/>
      <c r="CJ16" s="774">
        <f t="shared" si="23"/>
        <v>0</v>
      </c>
      <c r="CK16" s="916"/>
      <c r="CL16" s="352"/>
      <c r="CO16" s="355" t="s">
        <v>84</v>
      </c>
      <c r="CP16" s="354"/>
    </row>
    <row r="17" spans="1:94" ht="23.25" customHeight="1" x14ac:dyDescent="0.25">
      <c r="A17" s="342">
        <v>10</v>
      </c>
      <c r="B17" s="1222">
        <v>0</v>
      </c>
      <c r="C17" s="451"/>
      <c r="D17" s="418">
        <f t="shared" ref="D17:D22" si="31">100-E17-F17</f>
        <v>100</v>
      </c>
      <c r="E17" s="918">
        <v>0</v>
      </c>
      <c r="F17" s="1234">
        <v>0</v>
      </c>
      <c r="G17" s="1065">
        <v>0</v>
      </c>
      <c r="H17" s="1225">
        <v>0</v>
      </c>
      <c r="I17" s="421">
        <f t="shared" ref="I17:I22" si="32">((G17*D17/100)+(G17*E17*0.5/100)+G17*F17*0.75/100)*H17/6.25</f>
        <v>0</v>
      </c>
      <c r="J17" s="492" t="s">
        <v>90</v>
      </c>
      <c r="K17" s="423">
        <f t="shared" si="0"/>
        <v>0</v>
      </c>
      <c r="L17" s="494" t="s">
        <v>240</v>
      </c>
      <c r="M17" s="425">
        <f t="shared" si="1"/>
        <v>10</v>
      </c>
      <c r="N17" s="1229"/>
      <c r="O17" s="585">
        <f t="shared" ref="O17:O22" si="33">IF(I17-M17-K17-N17&lt;0,0,I17-M17-K17-N17)</f>
        <v>0</v>
      </c>
      <c r="P17" s="583">
        <f t="shared" ref="P17:P22" si="34">IF(O17&lt;0,0,O17*B17)</f>
        <v>0</v>
      </c>
      <c r="Q17" s="499">
        <f t="shared" ref="Q17:Q22" si="35">G17*(D17/100+E17*0.5/100+F17*0.75/100)*(0.25+0.43*H17/6.25-0.06*H17/6.25*H17/6.25)</f>
        <v>0</v>
      </c>
      <c r="R17" s="409">
        <f t="shared" ref="R17:R22" si="36">B17*Q17</f>
        <v>0</v>
      </c>
      <c r="S17" s="16"/>
      <c r="T17" s="958">
        <f t="shared" si="30"/>
        <v>10</v>
      </c>
      <c r="U17" s="899"/>
      <c r="V17" s="887" t="s">
        <v>805</v>
      </c>
      <c r="W17" s="978">
        <v>0</v>
      </c>
      <c r="X17" s="687">
        <f>VLOOKUP(V17,Düngemittel!$B$6:$E$64,2,FALSE)*(VLOOKUP(V17,Düngemittel!$B$6:$E$64,3,FALSE))/100*W17</f>
        <v>0</v>
      </c>
      <c r="Y17" s="687">
        <f>VLOOKUP(V17,Düngemittel!$B$6:$E$64,2,FALSE)*W17</f>
        <v>0</v>
      </c>
      <c r="Z17" s="687">
        <f>VLOOKUP(V17,Düngemittel!$B$6:$E$64,4,FALSE)*W17</f>
        <v>0</v>
      </c>
      <c r="AA17" s="666"/>
      <c r="AB17" s="899"/>
      <c r="AC17" s="887" t="s">
        <v>805</v>
      </c>
      <c r="AD17" s="978">
        <v>0</v>
      </c>
      <c r="AE17" s="687">
        <f>VLOOKUP(AC17,Düngemittel!$B$6:$E$64,2,FALSE)*(VLOOKUP(AC17,Düngemittel!$B$6:$E$64,3,FALSE))/100*AD17</f>
        <v>0</v>
      </c>
      <c r="AF17" s="687">
        <f>VLOOKUP(AC17,Düngemittel!$B$6:$E$64,2,FALSE)*AD17</f>
        <v>0</v>
      </c>
      <c r="AG17" s="687">
        <f>VLOOKUP(AC17,Düngemittel!$B$6:$E$64,4,FALSE)*AD17</f>
        <v>0</v>
      </c>
      <c r="AH17" s="666"/>
      <c r="AI17" s="899"/>
      <c r="AJ17" s="887" t="s">
        <v>805</v>
      </c>
      <c r="AK17" s="978">
        <v>0</v>
      </c>
      <c r="AL17" s="687">
        <f>VLOOKUP(AJ17,Düngemittel!$B$6:$E$64,2,FALSE)*(VLOOKUP(AJ17,Düngemittel!$B$6:$E$64,3,FALSE))/100*AK17</f>
        <v>0</v>
      </c>
      <c r="AM17" s="687">
        <f>VLOOKUP(AJ17,Düngemittel!$B$6:$E$64,2,FALSE)*AK17</f>
        <v>0</v>
      </c>
      <c r="AN17" s="687">
        <f>VLOOKUP(AJ17,Düngemittel!$B$6:$E$64,4,FALSE)*AK17</f>
        <v>0</v>
      </c>
      <c r="AO17" s="666"/>
      <c r="AP17" s="899"/>
      <c r="AQ17" s="887" t="s">
        <v>805</v>
      </c>
      <c r="AR17" s="978">
        <v>0</v>
      </c>
      <c r="AS17" s="687">
        <f>VLOOKUP(AQ17,Düngemittel!$B$6:$E$64,2,FALSE)*(VLOOKUP(AQ17,Düngemittel!$B$6:$E$64,3,FALSE))/100*AR17</f>
        <v>0</v>
      </c>
      <c r="AT17" s="687">
        <f>VLOOKUP(AQ17,Düngemittel!$B$6:$E$64,2,FALSE)*AR17</f>
        <v>0</v>
      </c>
      <c r="AU17" s="687">
        <f>VLOOKUP(AQ17,Düngemittel!$B$6:$E$64,4,FALSE)*AR17</f>
        <v>0</v>
      </c>
      <c r="AV17" s="666"/>
      <c r="AW17" s="899"/>
      <c r="AX17" s="887" t="s">
        <v>805</v>
      </c>
      <c r="AY17" s="978">
        <v>0</v>
      </c>
      <c r="AZ17" s="687">
        <f>VLOOKUP(AX17,Düngemittel!$B$6:$E$64,2,FALSE)*(VLOOKUP(AX17,Düngemittel!$B$6:$E$64,3,FALSE))/100*AY17</f>
        <v>0</v>
      </c>
      <c r="BA17" s="687">
        <f>VLOOKUP(AX17,Düngemittel!$B$6:$E$64,2,FALSE)*AY17</f>
        <v>0</v>
      </c>
      <c r="BB17" s="774">
        <f>VLOOKUP(AX17,Düngemittel!$B$6:$E$64,4,FALSE)*AY17</f>
        <v>0</v>
      </c>
      <c r="BC17" s="956"/>
      <c r="BD17" s="853">
        <f t="shared" si="9"/>
        <v>0</v>
      </c>
      <c r="BE17" s="308">
        <f t="shared" si="10"/>
        <v>0</v>
      </c>
      <c r="BF17" s="853">
        <f t="shared" si="11"/>
        <v>0</v>
      </c>
      <c r="BG17" s="777">
        <f t="shared" si="12"/>
        <v>0</v>
      </c>
      <c r="BH17" s="308">
        <f t="shared" si="13"/>
        <v>0</v>
      </c>
      <c r="BI17" s="785"/>
      <c r="BJ17" s="853">
        <f t="shared" si="14"/>
        <v>0</v>
      </c>
      <c r="BK17" s="853">
        <f t="shared" si="15"/>
        <v>0</v>
      </c>
      <c r="BL17" s="853">
        <f t="shared" si="16"/>
        <v>0</v>
      </c>
      <c r="BM17" s="853">
        <f t="shared" si="17"/>
        <v>0</v>
      </c>
      <c r="BN17" s="853">
        <f t="shared" si="18"/>
        <v>0</v>
      </c>
      <c r="BO17" s="16"/>
      <c r="BP17" s="16"/>
      <c r="BQ17" s="984">
        <f t="shared" si="19"/>
        <v>10</v>
      </c>
      <c r="BR17" s="985">
        <f t="shared" si="20"/>
        <v>0</v>
      </c>
      <c r="BS17" s="919"/>
      <c r="BT17" s="974"/>
      <c r="BU17" s="918"/>
      <c r="BV17" s="918"/>
      <c r="BW17" s="918"/>
      <c r="BX17" s="774">
        <f t="shared" si="21"/>
        <v>0</v>
      </c>
      <c r="BY17" s="919"/>
      <c r="BZ17" s="974"/>
      <c r="CA17" s="918"/>
      <c r="CB17" s="918"/>
      <c r="CC17" s="918"/>
      <c r="CD17" s="774">
        <f t="shared" si="22"/>
        <v>0</v>
      </c>
      <c r="CE17" s="919"/>
      <c r="CF17" s="974"/>
      <c r="CG17" s="918"/>
      <c r="CH17" s="918"/>
      <c r="CI17" s="918"/>
      <c r="CJ17" s="774">
        <f t="shared" si="23"/>
        <v>0</v>
      </c>
      <c r="CK17" s="916"/>
      <c r="CL17" s="352"/>
      <c r="CO17" s="378" t="s">
        <v>90</v>
      </c>
      <c r="CP17" s="354">
        <v>0</v>
      </c>
    </row>
    <row r="18" spans="1:94" ht="23.25" customHeight="1" x14ac:dyDescent="0.25">
      <c r="A18" s="342">
        <v>11</v>
      </c>
      <c r="B18" s="1222">
        <v>0</v>
      </c>
      <c r="C18" s="451"/>
      <c r="D18" s="418">
        <f t="shared" si="31"/>
        <v>100</v>
      </c>
      <c r="E18" s="918">
        <v>0</v>
      </c>
      <c r="F18" s="1234">
        <v>0</v>
      </c>
      <c r="G18" s="1065">
        <v>0</v>
      </c>
      <c r="H18" s="1225">
        <v>0</v>
      </c>
      <c r="I18" s="421">
        <f t="shared" si="32"/>
        <v>0</v>
      </c>
      <c r="J18" s="492" t="s">
        <v>90</v>
      </c>
      <c r="K18" s="423">
        <f t="shared" si="0"/>
        <v>0</v>
      </c>
      <c r="L18" s="494" t="s">
        <v>240</v>
      </c>
      <c r="M18" s="425">
        <f t="shared" si="1"/>
        <v>10</v>
      </c>
      <c r="N18" s="1229"/>
      <c r="O18" s="585">
        <f t="shared" si="33"/>
        <v>0</v>
      </c>
      <c r="P18" s="583">
        <f t="shared" si="34"/>
        <v>0</v>
      </c>
      <c r="Q18" s="499">
        <f t="shared" si="35"/>
        <v>0</v>
      </c>
      <c r="R18" s="409">
        <f t="shared" si="36"/>
        <v>0</v>
      </c>
      <c r="S18" s="16"/>
      <c r="T18" s="958">
        <f t="shared" si="30"/>
        <v>11</v>
      </c>
      <c r="U18" s="899"/>
      <c r="V18" s="887" t="s">
        <v>805</v>
      </c>
      <c r="W18" s="978">
        <v>0</v>
      </c>
      <c r="X18" s="687">
        <f>VLOOKUP(V18,Düngemittel!$B$6:$E$64,2,FALSE)*(VLOOKUP(V18,Düngemittel!$B$6:$E$64,3,FALSE))/100*W18</f>
        <v>0</v>
      </c>
      <c r="Y18" s="687">
        <f>VLOOKUP(V18,Düngemittel!$B$6:$E$64,2,FALSE)*W18</f>
        <v>0</v>
      </c>
      <c r="Z18" s="687">
        <f>VLOOKUP(V18,Düngemittel!$B$6:$E$64,4,FALSE)*W18</f>
        <v>0</v>
      </c>
      <c r="AA18" s="666"/>
      <c r="AB18" s="899"/>
      <c r="AC18" s="887" t="s">
        <v>805</v>
      </c>
      <c r="AD18" s="978">
        <v>0</v>
      </c>
      <c r="AE18" s="687">
        <f>VLOOKUP(AC18,Düngemittel!$B$6:$E$64,2,FALSE)*(VLOOKUP(AC18,Düngemittel!$B$6:$E$64,3,FALSE))/100*AD18</f>
        <v>0</v>
      </c>
      <c r="AF18" s="687">
        <f>VLOOKUP(AC18,Düngemittel!$B$6:$E$64,2,FALSE)*AD18</f>
        <v>0</v>
      </c>
      <c r="AG18" s="687">
        <f>VLOOKUP(AC18,Düngemittel!$B$6:$E$64,4,FALSE)*AD18</f>
        <v>0</v>
      </c>
      <c r="AH18" s="666"/>
      <c r="AI18" s="899"/>
      <c r="AJ18" s="887" t="s">
        <v>805</v>
      </c>
      <c r="AK18" s="978">
        <v>0</v>
      </c>
      <c r="AL18" s="687">
        <f>VLOOKUP(AJ18,Düngemittel!$B$6:$E$64,2,FALSE)*(VLOOKUP(AJ18,Düngemittel!$B$6:$E$64,3,FALSE))/100*AK18</f>
        <v>0</v>
      </c>
      <c r="AM18" s="687">
        <f>VLOOKUP(AJ18,Düngemittel!$B$6:$E$64,2,FALSE)*AK18</f>
        <v>0</v>
      </c>
      <c r="AN18" s="687">
        <f>VLOOKUP(AJ18,Düngemittel!$B$6:$E$64,4,FALSE)*AK18</f>
        <v>0</v>
      </c>
      <c r="AO18" s="666"/>
      <c r="AP18" s="899"/>
      <c r="AQ18" s="887" t="s">
        <v>805</v>
      </c>
      <c r="AR18" s="978">
        <v>0</v>
      </c>
      <c r="AS18" s="687">
        <f>VLOOKUP(AQ18,Düngemittel!$B$6:$E$64,2,FALSE)*(VLOOKUP(AQ18,Düngemittel!$B$6:$E$64,3,FALSE))/100*AR18</f>
        <v>0</v>
      </c>
      <c r="AT18" s="687">
        <f>VLOOKUP(AQ18,Düngemittel!$B$6:$E$64,2,FALSE)*AR18</f>
        <v>0</v>
      </c>
      <c r="AU18" s="687">
        <f>VLOOKUP(AQ18,Düngemittel!$B$6:$E$64,4,FALSE)*AR18</f>
        <v>0</v>
      </c>
      <c r="AV18" s="666"/>
      <c r="AW18" s="899"/>
      <c r="AX18" s="887" t="s">
        <v>805</v>
      </c>
      <c r="AY18" s="978">
        <v>0</v>
      </c>
      <c r="AZ18" s="687">
        <f>VLOOKUP(AX18,Düngemittel!$B$6:$E$64,2,FALSE)*(VLOOKUP(AX18,Düngemittel!$B$6:$E$64,3,FALSE))/100*AY18</f>
        <v>0</v>
      </c>
      <c r="BA18" s="687">
        <f>VLOOKUP(AX18,Düngemittel!$B$6:$E$64,2,FALSE)*AY18</f>
        <v>0</v>
      </c>
      <c r="BB18" s="774">
        <f>VLOOKUP(AX18,Düngemittel!$B$6:$E$64,4,FALSE)*AY18</f>
        <v>0</v>
      </c>
      <c r="BC18" s="956"/>
      <c r="BD18" s="853">
        <f t="shared" si="9"/>
        <v>0</v>
      </c>
      <c r="BE18" s="308">
        <f t="shared" si="10"/>
        <v>0</v>
      </c>
      <c r="BF18" s="853">
        <f t="shared" si="11"/>
        <v>0</v>
      </c>
      <c r="BG18" s="777">
        <f t="shared" si="12"/>
        <v>0</v>
      </c>
      <c r="BH18" s="308">
        <f t="shared" si="13"/>
        <v>0</v>
      </c>
      <c r="BI18" s="785"/>
      <c r="BJ18" s="853">
        <f t="shared" si="14"/>
        <v>0</v>
      </c>
      <c r="BK18" s="853">
        <f t="shared" si="15"/>
        <v>0</v>
      </c>
      <c r="BL18" s="853">
        <f t="shared" si="16"/>
        <v>0</v>
      </c>
      <c r="BM18" s="853">
        <f t="shared" si="17"/>
        <v>0</v>
      </c>
      <c r="BN18" s="853">
        <f t="shared" si="18"/>
        <v>0</v>
      </c>
      <c r="BO18" s="16"/>
      <c r="BP18" s="16"/>
      <c r="BQ18" s="984">
        <f t="shared" si="19"/>
        <v>11</v>
      </c>
      <c r="BR18" s="985">
        <f t="shared" si="20"/>
        <v>0</v>
      </c>
      <c r="BS18" s="919"/>
      <c r="BT18" s="974"/>
      <c r="BU18" s="918"/>
      <c r="BV18" s="918"/>
      <c r="BW18" s="918"/>
      <c r="BX18" s="774">
        <f t="shared" si="21"/>
        <v>0</v>
      </c>
      <c r="BY18" s="919"/>
      <c r="BZ18" s="974"/>
      <c r="CA18" s="918"/>
      <c r="CB18" s="918"/>
      <c r="CC18" s="918"/>
      <c r="CD18" s="774">
        <f t="shared" si="22"/>
        <v>0</v>
      </c>
      <c r="CE18" s="919"/>
      <c r="CF18" s="974"/>
      <c r="CG18" s="918"/>
      <c r="CH18" s="918"/>
      <c r="CI18" s="918"/>
      <c r="CJ18" s="774">
        <f t="shared" si="23"/>
        <v>0</v>
      </c>
      <c r="CK18" s="916"/>
      <c r="CL18" s="352"/>
      <c r="CO18" s="378" t="s">
        <v>88</v>
      </c>
      <c r="CP18" s="354">
        <v>20</v>
      </c>
    </row>
    <row r="19" spans="1:94" ht="23.25" customHeight="1" x14ac:dyDescent="0.25">
      <c r="A19" s="342">
        <v>12</v>
      </c>
      <c r="B19" s="1222">
        <v>0</v>
      </c>
      <c r="C19" s="451"/>
      <c r="D19" s="418">
        <f t="shared" si="31"/>
        <v>100</v>
      </c>
      <c r="E19" s="918">
        <v>0</v>
      </c>
      <c r="F19" s="1234">
        <v>0</v>
      </c>
      <c r="G19" s="1065">
        <v>0</v>
      </c>
      <c r="H19" s="1225">
        <v>0</v>
      </c>
      <c r="I19" s="421">
        <f t="shared" si="32"/>
        <v>0</v>
      </c>
      <c r="J19" s="492" t="s">
        <v>90</v>
      </c>
      <c r="K19" s="423">
        <f t="shared" si="0"/>
        <v>0</v>
      </c>
      <c r="L19" s="494" t="s">
        <v>240</v>
      </c>
      <c r="M19" s="425">
        <f t="shared" si="1"/>
        <v>10</v>
      </c>
      <c r="N19" s="1229"/>
      <c r="O19" s="585">
        <f t="shared" si="33"/>
        <v>0</v>
      </c>
      <c r="P19" s="583">
        <f t="shared" si="34"/>
        <v>0</v>
      </c>
      <c r="Q19" s="499">
        <f t="shared" si="35"/>
        <v>0</v>
      </c>
      <c r="R19" s="409">
        <f t="shared" si="36"/>
        <v>0</v>
      </c>
      <c r="S19" s="16"/>
      <c r="T19" s="958">
        <f t="shared" si="30"/>
        <v>12</v>
      </c>
      <c r="U19" s="899"/>
      <c r="V19" s="887" t="s">
        <v>805</v>
      </c>
      <c r="W19" s="978">
        <v>0</v>
      </c>
      <c r="X19" s="687">
        <f>VLOOKUP(V19,Düngemittel!$B$6:$E$64,2,FALSE)*(VLOOKUP(V19,Düngemittel!$B$6:$E$64,3,FALSE))/100*W19</f>
        <v>0</v>
      </c>
      <c r="Y19" s="687">
        <f>VLOOKUP(V19,Düngemittel!$B$6:$E$64,2,FALSE)*W19</f>
        <v>0</v>
      </c>
      <c r="Z19" s="687">
        <f>VLOOKUP(V19,Düngemittel!$B$6:$E$64,4,FALSE)*W19</f>
        <v>0</v>
      </c>
      <c r="AA19" s="666"/>
      <c r="AB19" s="899"/>
      <c r="AC19" s="887" t="s">
        <v>805</v>
      </c>
      <c r="AD19" s="978">
        <v>0</v>
      </c>
      <c r="AE19" s="687">
        <f>VLOOKUP(AC19,Düngemittel!$B$6:$E$64,2,FALSE)*(VLOOKUP(AC19,Düngemittel!$B$6:$E$64,3,FALSE))/100*AD19</f>
        <v>0</v>
      </c>
      <c r="AF19" s="687">
        <f>VLOOKUP(AC19,Düngemittel!$B$6:$E$64,2,FALSE)*AD19</f>
        <v>0</v>
      </c>
      <c r="AG19" s="687">
        <f>VLOOKUP(AC19,Düngemittel!$B$6:$E$64,4,FALSE)*AD19</f>
        <v>0</v>
      </c>
      <c r="AH19" s="666"/>
      <c r="AI19" s="899"/>
      <c r="AJ19" s="887" t="s">
        <v>805</v>
      </c>
      <c r="AK19" s="978">
        <v>0</v>
      </c>
      <c r="AL19" s="687">
        <f>VLOOKUP(AJ19,Düngemittel!$B$6:$E$64,2,FALSE)*(VLOOKUP(AJ19,Düngemittel!$B$6:$E$64,3,FALSE))/100*AK19</f>
        <v>0</v>
      </c>
      <c r="AM19" s="687">
        <f>VLOOKUP(AJ19,Düngemittel!$B$6:$E$64,2,FALSE)*AK19</f>
        <v>0</v>
      </c>
      <c r="AN19" s="687">
        <f>VLOOKUP(AJ19,Düngemittel!$B$6:$E$64,4,FALSE)*AK19</f>
        <v>0</v>
      </c>
      <c r="AO19" s="666"/>
      <c r="AP19" s="899"/>
      <c r="AQ19" s="887" t="s">
        <v>805</v>
      </c>
      <c r="AR19" s="978">
        <v>0</v>
      </c>
      <c r="AS19" s="687">
        <f>VLOOKUP(AQ19,Düngemittel!$B$6:$E$64,2,FALSE)*(VLOOKUP(AQ19,Düngemittel!$B$6:$E$64,3,FALSE))/100*AR19</f>
        <v>0</v>
      </c>
      <c r="AT19" s="687">
        <f>VLOOKUP(AQ19,Düngemittel!$B$6:$E$64,2,FALSE)*AR19</f>
        <v>0</v>
      </c>
      <c r="AU19" s="687">
        <f>VLOOKUP(AQ19,Düngemittel!$B$6:$E$64,4,FALSE)*AR19</f>
        <v>0</v>
      </c>
      <c r="AV19" s="666"/>
      <c r="AW19" s="899"/>
      <c r="AX19" s="887" t="s">
        <v>805</v>
      </c>
      <c r="AY19" s="978">
        <v>0</v>
      </c>
      <c r="AZ19" s="687">
        <f>VLOOKUP(AX19,Düngemittel!$B$6:$E$64,2,FALSE)*(VLOOKUP(AX19,Düngemittel!$B$6:$E$64,3,FALSE))/100*AY19</f>
        <v>0</v>
      </c>
      <c r="BA19" s="687">
        <f>VLOOKUP(AX19,Düngemittel!$B$6:$E$64,2,FALSE)*AY19</f>
        <v>0</v>
      </c>
      <c r="BB19" s="774">
        <f>VLOOKUP(AX19,Düngemittel!$B$6:$E$64,4,FALSE)*AY19</f>
        <v>0</v>
      </c>
      <c r="BC19" s="956"/>
      <c r="BD19" s="853">
        <f t="shared" si="9"/>
        <v>0</v>
      </c>
      <c r="BE19" s="308">
        <f t="shared" si="10"/>
        <v>0</v>
      </c>
      <c r="BF19" s="853">
        <f t="shared" si="11"/>
        <v>0</v>
      </c>
      <c r="BG19" s="777">
        <f t="shared" si="12"/>
        <v>0</v>
      </c>
      <c r="BH19" s="308">
        <f t="shared" si="13"/>
        <v>0</v>
      </c>
      <c r="BI19" s="785"/>
      <c r="BJ19" s="853">
        <f t="shared" si="14"/>
        <v>0</v>
      </c>
      <c r="BK19" s="853">
        <f t="shared" si="15"/>
        <v>0</v>
      </c>
      <c r="BL19" s="853">
        <f t="shared" si="16"/>
        <v>0</v>
      </c>
      <c r="BM19" s="853">
        <f t="shared" si="17"/>
        <v>0</v>
      </c>
      <c r="BN19" s="853">
        <f t="shared" si="18"/>
        <v>0</v>
      </c>
      <c r="BO19" s="16"/>
      <c r="BP19" s="16"/>
      <c r="BQ19" s="984">
        <f t="shared" si="19"/>
        <v>12</v>
      </c>
      <c r="BR19" s="985">
        <f t="shared" si="20"/>
        <v>0</v>
      </c>
      <c r="BS19" s="919"/>
      <c r="BT19" s="974"/>
      <c r="BU19" s="918"/>
      <c r="BV19" s="918"/>
      <c r="BW19" s="918"/>
      <c r="BX19" s="774">
        <f t="shared" si="21"/>
        <v>0</v>
      </c>
      <c r="BY19" s="919"/>
      <c r="BZ19" s="974"/>
      <c r="CA19" s="918"/>
      <c r="CB19" s="918"/>
      <c r="CC19" s="918"/>
      <c r="CD19" s="774">
        <f t="shared" si="22"/>
        <v>0</v>
      </c>
      <c r="CE19" s="919"/>
      <c r="CF19" s="974"/>
      <c r="CG19" s="918"/>
      <c r="CH19" s="918"/>
      <c r="CI19" s="918"/>
      <c r="CJ19" s="774">
        <f t="shared" si="23"/>
        <v>0</v>
      </c>
      <c r="CK19" s="916"/>
      <c r="CL19" s="352"/>
      <c r="CO19" s="378" t="s">
        <v>89</v>
      </c>
      <c r="CP19" s="354">
        <v>40</v>
      </c>
    </row>
    <row r="20" spans="1:94" ht="23.25" customHeight="1" x14ac:dyDescent="0.25">
      <c r="A20" s="342">
        <v>13</v>
      </c>
      <c r="B20" s="1222">
        <v>0</v>
      </c>
      <c r="C20" s="451"/>
      <c r="D20" s="418">
        <f t="shared" si="31"/>
        <v>100</v>
      </c>
      <c r="E20" s="918">
        <v>0</v>
      </c>
      <c r="F20" s="1234">
        <v>0</v>
      </c>
      <c r="G20" s="1065">
        <v>0</v>
      </c>
      <c r="H20" s="1225">
        <v>0</v>
      </c>
      <c r="I20" s="421">
        <f t="shared" si="32"/>
        <v>0</v>
      </c>
      <c r="J20" s="492" t="s">
        <v>90</v>
      </c>
      <c r="K20" s="423">
        <f t="shared" si="0"/>
        <v>0</v>
      </c>
      <c r="L20" s="494" t="s">
        <v>240</v>
      </c>
      <c r="M20" s="425">
        <f t="shared" si="1"/>
        <v>10</v>
      </c>
      <c r="N20" s="1229"/>
      <c r="O20" s="585">
        <f t="shared" si="33"/>
        <v>0</v>
      </c>
      <c r="P20" s="583">
        <f t="shared" si="34"/>
        <v>0</v>
      </c>
      <c r="Q20" s="499">
        <f t="shared" si="35"/>
        <v>0</v>
      </c>
      <c r="R20" s="409">
        <f t="shared" si="36"/>
        <v>0</v>
      </c>
      <c r="S20" s="16"/>
      <c r="T20" s="958">
        <f t="shared" si="30"/>
        <v>13</v>
      </c>
      <c r="U20" s="899"/>
      <c r="V20" s="887" t="s">
        <v>805</v>
      </c>
      <c r="W20" s="978">
        <v>0</v>
      </c>
      <c r="X20" s="687">
        <f>VLOOKUP(V20,Düngemittel!$B$6:$E$64,2,FALSE)*(VLOOKUP(V20,Düngemittel!$B$6:$E$64,3,FALSE))/100*W20</f>
        <v>0</v>
      </c>
      <c r="Y20" s="687">
        <f>VLOOKUP(V20,Düngemittel!$B$6:$E$64,2,FALSE)*W20</f>
        <v>0</v>
      </c>
      <c r="Z20" s="687">
        <f>VLOOKUP(V20,Düngemittel!$B$6:$E$64,4,FALSE)*W20</f>
        <v>0</v>
      </c>
      <c r="AA20" s="666"/>
      <c r="AB20" s="899"/>
      <c r="AC20" s="887" t="s">
        <v>805</v>
      </c>
      <c r="AD20" s="978">
        <v>0</v>
      </c>
      <c r="AE20" s="687">
        <f>VLOOKUP(AC20,Düngemittel!$B$6:$E$64,2,FALSE)*(VLOOKUP(AC20,Düngemittel!$B$6:$E$64,3,FALSE))/100*AD20</f>
        <v>0</v>
      </c>
      <c r="AF20" s="687">
        <f>VLOOKUP(AC20,Düngemittel!$B$6:$E$64,2,FALSE)*AD20</f>
        <v>0</v>
      </c>
      <c r="AG20" s="687">
        <f>VLOOKUP(AC20,Düngemittel!$B$6:$E$64,4,FALSE)*AD20</f>
        <v>0</v>
      </c>
      <c r="AH20" s="666"/>
      <c r="AI20" s="899"/>
      <c r="AJ20" s="887" t="s">
        <v>805</v>
      </c>
      <c r="AK20" s="978">
        <v>0</v>
      </c>
      <c r="AL20" s="687">
        <f>VLOOKUP(AJ20,Düngemittel!$B$6:$E$64,2,FALSE)*(VLOOKUP(AJ20,Düngemittel!$B$6:$E$64,3,FALSE))/100*AK20</f>
        <v>0</v>
      </c>
      <c r="AM20" s="687">
        <f>VLOOKUP(AJ20,Düngemittel!$B$6:$E$64,2,FALSE)*AK20</f>
        <v>0</v>
      </c>
      <c r="AN20" s="687">
        <f>VLOOKUP(AJ20,Düngemittel!$B$6:$E$64,4,FALSE)*AK20</f>
        <v>0</v>
      </c>
      <c r="AO20" s="666"/>
      <c r="AP20" s="899"/>
      <c r="AQ20" s="887" t="s">
        <v>805</v>
      </c>
      <c r="AR20" s="978">
        <v>0</v>
      </c>
      <c r="AS20" s="687">
        <f>VLOOKUP(AQ20,Düngemittel!$B$6:$E$64,2,FALSE)*(VLOOKUP(AQ20,Düngemittel!$B$6:$E$64,3,FALSE))/100*AR20</f>
        <v>0</v>
      </c>
      <c r="AT20" s="687">
        <f>VLOOKUP(AQ20,Düngemittel!$B$6:$E$64,2,FALSE)*AR20</f>
        <v>0</v>
      </c>
      <c r="AU20" s="687">
        <f>VLOOKUP(AQ20,Düngemittel!$B$6:$E$64,4,FALSE)*AR20</f>
        <v>0</v>
      </c>
      <c r="AV20" s="666"/>
      <c r="AW20" s="899"/>
      <c r="AX20" s="887" t="s">
        <v>805</v>
      </c>
      <c r="AY20" s="978">
        <v>0</v>
      </c>
      <c r="AZ20" s="687">
        <f>VLOOKUP(AX20,Düngemittel!$B$6:$E$64,2,FALSE)*(VLOOKUP(AX20,Düngemittel!$B$6:$E$64,3,FALSE))/100*AY20</f>
        <v>0</v>
      </c>
      <c r="BA20" s="687">
        <f>VLOOKUP(AX20,Düngemittel!$B$6:$E$64,2,FALSE)*AY20</f>
        <v>0</v>
      </c>
      <c r="BB20" s="774">
        <f>VLOOKUP(AX20,Düngemittel!$B$6:$E$64,4,FALSE)*AY20</f>
        <v>0</v>
      </c>
      <c r="BC20" s="956"/>
      <c r="BD20" s="853">
        <f t="shared" si="9"/>
        <v>0</v>
      </c>
      <c r="BE20" s="308">
        <f t="shared" si="10"/>
        <v>0</v>
      </c>
      <c r="BF20" s="853">
        <f t="shared" si="11"/>
        <v>0</v>
      </c>
      <c r="BG20" s="777">
        <f t="shared" si="12"/>
        <v>0</v>
      </c>
      <c r="BH20" s="308">
        <f t="shared" si="13"/>
        <v>0</v>
      </c>
      <c r="BI20" s="785"/>
      <c r="BJ20" s="853">
        <f t="shared" si="14"/>
        <v>0</v>
      </c>
      <c r="BK20" s="853">
        <f t="shared" si="15"/>
        <v>0</v>
      </c>
      <c r="BL20" s="853">
        <f t="shared" si="16"/>
        <v>0</v>
      </c>
      <c r="BM20" s="853">
        <f t="shared" si="17"/>
        <v>0</v>
      </c>
      <c r="BN20" s="853">
        <f t="shared" si="18"/>
        <v>0</v>
      </c>
      <c r="BO20" s="16"/>
      <c r="BP20" s="16"/>
      <c r="BQ20" s="984">
        <f t="shared" si="19"/>
        <v>13</v>
      </c>
      <c r="BR20" s="985">
        <f t="shared" si="20"/>
        <v>0</v>
      </c>
      <c r="BS20" s="919"/>
      <c r="BT20" s="974"/>
      <c r="BU20" s="918"/>
      <c r="BV20" s="918"/>
      <c r="BW20" s="918"/>
      <c r="BX20" s="774">
        <f t="shared" si="21"/>
        <v>0</v>
      </c>
      <c r="BY20" s="919"/>
      <c r="BZ20" s="974"/>
      <c r="CA20" s="918"/>
      <c r="CB20" s="918"/>
      <c r="CC20" s="918"/>
      <c r="CD20" s="774">
        <f t="shared" si="22"/>
        <v>0</v>
      </c>
      <c r="CE20" s="919"/>
      <c r="CF20" s="974"/>
      <c r="CG20" s="918"/>
      <c r="CH20" s="918"/>
      <c r="CI20" s="918"/>
      <c r="CJ20" s="774">
        <f t="shared" si="23"/>
        <v>0</v>
      </c>
      <c r="CK20" s="916"/>
      <c r="CL20" s="352"/>
      <c r="CO20" s="378" t="s">
        <v>233</v>
      </c>
      <c r="CP20" s="354">
        <v>60</v>
      </c>
    </row>
    <row r="21" spans="1:94" ht="23.25" customHeight="1" x14ac:dyDescent="0.25">
      <c r="A21" s="342">
        <v>14</v>
      </c>
      <c r="B21" s="1222">
        <v>0</v>
      </c>
      <c r="C21" s="451"/>
      <c r="D21" s="418">
        <f t="shared" si="31"/>
        <v>100</v>
      </c>
      <c r="E21" s="918">
        <v>0</v>
      </c>
      <c r="F21" s="1234">
        <v>0</v>
      </c>
      <c r="G21" s="1065">
        <v>0</v>
      </c>
      <c r="H21" s="1225">
        <v>0</v>
      </c>
      <c r="I21" s="421">
        <f t="shared" si="32"/>
        <v>0</v>
      </c>
      <c r="J21" s="492" t="s">
        <v>90</v>
      </c>
      <c r="K21" s="423">
        <f t="shared" si="0"/>
        <v>0</v>
      </c>
      <c r="L21" s="494" t="s">
        <v>240</v>
      </c>
      <c r="M21" s="425">
        <f t="shared" si="1"/>
        <v>10</v>
      </c>
      <c r="N21" s="1229"/>
      <c r="O21" s="585">
        <f t="shared" si="33"/>
        <v>0</v>
      </c>
      <c r="P21" s="583">
        <f t="shared" si="34"/>
        <v>0</v>
      </c>
      <c r="Q21" s="499">
        <f t="shared" si="35"/>
        <v>0</v>
      </c>
      <c r="R21" s="409">
        <f t="shared" si="36"/>
        <v>0</v>
      </c>
      <c r="S21" s="16"/>
      <c r="T21" s="958">
        <f t="shared" si="30"/>
        <v>14</v>
      </c>
      <c r="U21" s="899"/>
      <c r="V21" s="887" t="s">
        <v>805</v>
      </c>
      <c r="W21" s="978">
        <v>0</v>
      </c>
      <c r="X21" s="687">
        <f>VLOOKUP(V21,Düngemittel!$B$6:$E$64,2,FALSE)*(VLOOKUP(V21,Düngemittel!$B$6:$E$64,3,FALSE))/100*W21</f>
        <v>0</v>
      </c>
      <c r="Y21" s="687">
        <f>VLOOKUP(V21,Düngemittel!$B$6:$E$64,2,FALSE)*W21</f>
        <v>0</v>
      </c>
      <c r="Z21" s="687">
        <f>VLOOKUP(V21,Düngemittel!$B$6:$E$64,4,FALSE)*W21</f>
        <v>0</v>
      </c>
      <c r="AA21" s="666"/>
      <c r="AB21" s="899"/>
      <c r="AC21" s="887" t="s">
        <v>805</v>
      </c>
      <c r="AD21" s="978">
        <v>0</v>
      </c>
      <c r="AE21" s="687">
        <f>VLOOKUP(AC21,Düngemittel!$B$6:$E$64,2,FALSE)*(VLOOKUP(AC21,Düngemittel!$B$6:$E$64,3,FALSE))/100*AD21</f>
        <v>0</v>
      </c>
      <c r="AF21" s="687">
        <f>VLOOKUP(AC21,Düngemittel!$B$6:$E$64,2,FALSE)*AD21</f>
        <v>0</v>
      </c>
      <c r="AG21" s="687">
        <f>VLOOKUP(AC21,Düngemittel!$B$6:$E$64,4,FALSE)*AD21</f>
        <v>0</v>
      </c>
      <c r="AH21" s="666"/>
      <c r="AI21" s="899"/>
      <c r="AJ21" s="887" t="s">
        <v>805</v>
      </c>
      <c r="AK21" s="978">
        <v>0</v>
      </c>
      <c r="AL21" s="687">
        <f>VLOOKUP(AJ21,Düngemittel!$B$6:$E$64,2,FALSE)*(VLOOKUP(AJ21,Düngemittel!$B$6:$E$64,3,FALSE))/100*AK21</f>
        <v>0</v>
      </c>
      <c r="AM21" s="687">
        <f>VLOOKUP(AJ21,Düngemittel!$B$6:$E$64,2,FALSE)*AK21</f>
        <v>0</v>
      </c>
      <c r="AN21" s="687">
        <f>VLOOKUP(AJ21,Düngemittel!$B$6:$E$64,4,FALSE)*AK21</f>
        <v>0</v>
      </c>
      <c r="AO21" s="666"/>
      <c r="AP21" s="899"/>
      <c r="AQ21" s="887" t="s">
        <v>805</v>
      </c>
      <c r="AR21" s="978">
        <v>0</v>
      </c>
      <c r="AS21" s="687">
        <f>VLOOKUP(AQ21,Düngemittel!$B$6:$E$64,2,FALSE)*(VLOOKUP(AQ21,Düngemittel!$B$6:$E$64,3,FALSE))/100*AR21</f>
        <v>0</v>
      </c>
      <c r="AT21" s="687">
        <f>VLOOKUP(AQ21,Düngemittel!$B$6:$E$64,2,FALSE)*AR21</f>
        <v>0</v>
      </c>
      <c r="AU21" s="687">
        <f>VLOOKUP(AQ21,Düngemittel!$B$6:$E$64,4,FALSE)*AR21</f>
        <v>0</v>
      </c>
      <c r="AV21" s="666"/>
      <c r="AW21" s="899"/>
      <c r="AX21" s="887" t="s">
        <v>805</v>
      </c>
      <c r="AY21" s="978">
        <v>0</v>
      </c>
      <c r="AZ21" s="687">
        <f>VLOOKUP(AX21,Düngemittel!$B$6:$E$64,2,FALSE)*(VLOOKUP(AX21,Düngemittel!$B$6:$E$64,3,FALSE))/100*AY21</f>
        <v>0</v>
      </c>
      <c r="BA21" s="687">
        <f>VLOOKUP(AX21,Düngemittel!$B$6:$E$64,2,FALSE)*AY21</f>
        <v>0</v>
      </c>
      <c r="BB21" s="774">
        <f>VLOOKUP(AX21,Düngemittel!$B$6:$E$64,4,FALSE)*AY21</f>
        <v>0</v>
      </c>
      <c r="BC21" s="956"/>
      <c r="BD21" s="853">
        <f t="shared" si="9"/>
        <v>0</v>
      </c>
      <c r="BE21" s="308">
        <f t="shared" si="10"/>
        <v>0</v>
      </c>
      <c r="BF21" s="853">
        <f t="shared" si="11"/>
        <v>0</v>
      </c>
      <c r="BG21" s="777">
        <f t="shared" si="12"/>
        <v>0</v>
      </c>
      <c r="BH21" s="308">
        <f t="shared" si="13"/>
        <v>0</v>
      </c>
      <c r="BI21" s="785"/>
      <c r="BJ21" s="853">
        <f t="shared" si="14"/>
        <v>0</v>
      </c>
      <c r="BK21" s="853">
        <f t="shared" si="15"/>
        <v>0</v>
      </c>
      <c r="BL21" s="853">
        <f t="shared" si="16"/>
        <v>0</v>
      </c>
      <c r="BM21" s="853">
        <f t="shared" si="17"/>
        <v>0</v>
      </c>
      <c r="BN21" s="853">
        <f t="shared" si="18"/>
        <v>0</v>
      </c>
      <c r="BO21" s="16"/>
      <c r="BP21" s="16"/>
      <c r="BQ21" s="984">
        <f t="shared" si="19"/>
        <v>14</v>
      </c>
      <c r="BR21" s="985">
        <f t="shared" si="20"/>
        <v>0</v>
      </c>
      <c r="BS21" s="919"/>
      <c r="BT21" s="974"/>
      <c r="BU21" s="918"/>
      <c r="BV21" s="918"/>
      <c r="BW21" s="918"/>
      <c r="BX21" s="774">
        <f t="shared" si="21"/>
        <v>0</v>
      </c>
      <c r="BY21" s="919"/>
      <c r="BZ21" s="974"/>
      <c r="CA21" s="918"/>
      <c r="CB21" s="918"/>
      <c r="CC21" s="918"/>
      <c r="CD21" s="774">
        <f t="shared" si="22"/>
        <v>0</v>
      </c>
      <c r="CE21" s="919"/>
      <c r="CF21" s="974"/>
      <c r="CG21" s="918"/>
      <c r="CH21" s="918"/>
      <c r="CI21" s="918"/>
      <c r="CJ21" s="774">
        <f t="shared" si="23"/>
        <v>0</v>
      </c>
      <c r="CK21" s="916"/>
      <c r="CL21" s="352"/>
    </row>
    <row r="22" spans="1:94" ht="23.25" customHeight="1" x14ac:dyDescent="0.25">
      <c r="A22" s="342">
        <v>15</v>
      </c>
      <c r="B22" s="1222">
        <v>0</v>
      </c>
      <c r="C22" s="455"/>
      <c r="D22" s="418">
        <f t="shared" si="31"/>
        <v>100</v>
      </c>
      <c r="E22" s="918">
        <v>0</v>
      </c>
      <c r="F22" s="1234">
        <v>0</v>
      </c>
      <c r="G22" s="1065">
        <v>0</v>
      </c>
      <c r="H22" s="1225">
        <v>0</v>
      </c>
      <c r="I22" s="421">
        <f t="shared" si="32"/>
        <v>0</v>
      </c>
      <c r="J22" s="492" t="s">
        <v>90</v>
      </c>
      <c r="K22" s="423">
        <f t="shared" si="0"/>
        <v>0</v>
      </c>
      <c r="L22" s="494" t="s">
        <v>240</v>
      </c>
      <c r="M22" s="425">
        <f t="shared" si="1"/>
        <v>10</v>
      </c>
      <c r="N22" s="1229"/>
      <c r="O22" s="585">
        <f t="shared" si="33"/>
        <v>0</v>
      </c>
      <c r="P22" s="583">
        <f t="shared" si="34"/>
        <v>0</v>
      </c>
      <c r="Q22" s="499">
        <f t="shared" si="35"/>
        <v>0</v>
      </c>
      <c r="R22" s="409">
        <f t="shared" si="36"/>
        <v>0</v>
      </c>
      <c r="S22" s="16"/>
      <c r="T22" s="958">
        <f t="shared" si="30"/>
        <v>15</v>
      </c>
      <c r="U22" s="899"/>
      <c r="V22" s="887" t="s">
        <v>805</v>
      </c>
      <c r="W22" s="978">
        <v>0</v>
      </c>
      <c r="X22" s="687">
        <f>VLOOKUP(V22,Düngemittel!$B$6:$E$64,2,FALSE)*(VLOOKUP(V22,Düngemittel!$B$6:$E$64,3,FALSE))/100*W22</f>
        <v>0</v>
      </c>
      <c r="Y22" s="687">
        <f>VLOOKUP(V22,Düngemittel!$B$6:$E$64,2,FALSE)*W22</f>
        <v>0</v>
      </c>
      <c r="Z22" s="687">
        <f>VLOOKUP(V22,Düngemittel!$B$6:$E$64,4,FALSE)*W22</f>
        <v>0</v>
      </c>
      <c r="AA22" s="666"/>
      <c r="AB22" s="899"/>
      <c r="AC22" s="887" t="s">
        <v>805</v>
      </c>
      <c r="AD22" s="978">
        <v>0</v>
      </c>
      <c r="AE22" s="687">
        <f>VLOOKUP(AC22,Düngemittel!$B$6:$E$64,2,FALSE)*(VLOOKUP(AC22,Düngemittel!$B$6:$E$64,3,FALSE))/100*AD22</f>
        <v>0</v>
      </c>
      <c r="AF22" s="687">
        <f>VLOOKUP(AC22,Düngemittel!$B$6:$E$64,2,FALSE)*AD22</f>
        <v>0</v>
      </c>
      <c r="AG22" s="687">
        <f>VLOOKUP(AC22,Düngemittel!$B$6:$E$64,4,FALSE)*AD22</f>
        <v>0</v>
      </c>
      <c r="AH22" s="666"/>
      <c r="AI22" s="899"/>
      <c r="AJ22" s="887" t="s">
        <v>805</v>
      </c>
      <c r="AK22" s="978">
        <v>0</v>
      </c>
      <c r="AL22" s="687">
        <f>VLOOKUP(AJ22,Düngemittel!$B$6:$E$64,2,FALSE)*(VLOOKUP(AJ22,Düngemittel!$B$6:$E$64,3,FALSE))/100*AK22</f>
        <v>0</v>
      </c>
      <c r="AM22" s="687">
        <f>VLOOKUP(AJ22,Düngemittel!$B$6:$E$64,2,FALSE)*AK22</f>
        <v>0</v>
      </c>
      <c r="AN22" s="687">
        <f>VLOOKUP(AJ22,Düngemittel!$B$6:$E$64,4,FALSE)*AK22</f>
        <v>0</v>
      </c>
      <c r="AO22" s="666"/>
      <c r="AP22" s="899"/>
      <c r="AQ22" s="887" t="s">
        <v>805</v>
      </c>
      <c r="AR22" s="978">
        <v>0</v>
      </c>
      <c r="AS22" s="687">
        <f>VLOOKUP(AQ22,Düngemittel!$B$6:$E$64,2,FALSE)*(VLOOKUP(AQ22,Düngemittel!$B$6:$E$64,3,FALSE))/100*AR22</f>
        <v>0</v>
      </c>
      <c r="AT22" s="687">
        <f>VLOOKUP(AQ22,Düngemittel!$B$6:$E$64,2,FALSE)*AR22</f>
        <v>0</v>
      </c>
      <c r="AU22" s="687">
        <f>VLOOKUP(AQ22,Düngemittel!$B$6:$E$64,4,FALSE)*AR22</f>
        <v>0</v>
      </c>
      <c r="AV22" s="666"/>
      <c r="AW22" s="899"/>
      <c r="AX22" s="887" t="s">
        <v>805</v>
      </c>
      <c r="AY22" s="978">
        <v>0</v>
      </c>
      <c r="AZ22" s="687">
        <f>VLOOKUP(AX22,Düngemittel!$B$6:$E$64,2,FALSE)*(VLOOKUP(AX22,Düngemittel!$B$6:$E$64,3,FALSE))/100*AY22</f>
        <v>0</v>
      </c>
      <c r="BA22" s="687">
        <f>VLOOKUP(AX22,Düngemittel!$B$6:$E$64,2,FALSE)*AY22</f>
        <v>0</v>
      </c>
      <c r="BB22" s="774">
        <f>VLOOKUP(AX22,Düngemittel!$B$6:$E$64,4,FALSE)*AY22</f>
        <v>0</v>
      </c>
      <c r="BC22" s="956"/>
      <c r="BD22" s="853">
        <f t="shared" si="9"/>
        <v>0</v>
      </c>
      <c r="BE22" s="308">
        <f t="shared" si="10"/>
        <v>0</v>
      </c>
      <c r="BF22" s="853">
        <f t="shared" si="11"/>
        <v>0</v>
      </c>
      <c r="BG22" s="777">
        <f t="shared" si="12"/>
        <v>0</v>
      </c>
      <c r="BH22" s="308">
        <f t="shared" si="13"/>
        <v>0</v>
      </c>
      <c r="BI22" s="785"/>
      <c r="BJ22" s="853">
        <f t="shared" si="14"/>
        <v>0</v>
      </c>
      <c r="BK22" s="853">
        <f t="shared" si="15"/>
        <v>0</v>
      </c>
      <c r="BL22" s="853">
        <f t="shared" si="16"/>
        <v>0</v>
      </c>
      <c r="BM22" s="853">
        <f t="shared" si="17"/>
        <v>0</v>
      </c>
      <c r="BN22" s="853">
        <f t="shared" si="18"/>
        <v>0</v>
      </c>
      <c r="BO22" s="16"/>
      <c r="BP22" s="16"/>
      <c r="BQ22" s="984">
        <f t="shared" si="19"/>
        <v>15</v>
      </c>
      <c r="BR22" s="985">
        <f t="shared" si="20"/>
        <v>0</v>
      </c>
      <c r="BS22" s="919"/>
      <c r="BT22" s="974"/>
      <c r="BU22" s="918"/>
      <c r="BV22" s="918"/>
      <c r="BW22" s="918"/>
      <c r="BX22" s="774">
        <f t="shared" si="21"/>
        <v>0</v>
      </c>
      <c r="BY22" s="919"/>
      <c r="BZ22" s="974"/>
      <c r="CA22" s="918"/>
      <c r="CB22" s="918"/>
      <c r="CC22" s="918"/>
      <c r="CD22" s="774">
        <f t="shared" si="22"/>
        <v>0</v>
      </c>
      <c r="CE22" s="919"/>
      <c r="CF22" s="974"/>
      <c r="CG22" s="918"/>
      <c r="CH22" s="918"/>
      <c r="CI22" s="918"/>
      <c r="CJ22" s="774">
        <f t="shared" si="23"/>
        <v>0</v>
      </c>
      <c r="CK22" s="915"/>
    </row>
    <row r="23" spans="1:94" ht="23.25" customHeight="1" x14ac:dyDescent="0.25">
      <c r="A23" s="342">
        <v>16</v>
      </c>
      <c r="B23" s="1222">
        <v>0</v>
      </c>
      <c r="C23" s="451"/>
      <c r="D23" s="418">
        <f t="shared" si="4"/>
        <v>100</v>
      </c>
      <c r="E23" s="918">
        <v>0</v>
      </c>
      <c r="F23" s="1234">
        <v>0</v>
      </c>
      <c r="G23" s="1065">
        <v>0</v>
      </c>
      <c r="H23" s="1225">
        <v>0</v>
      </c>
      <c r="I23" s="421">
        <f t="shared" si="5"/>
        <v>0</v>
      </c>
      <c r="J23" s="492" t="s">
        <v>90</v>
      </c>
      <c r="K23" s="423">
        <f t="shared" si="0"/>
        <v>0</v>
      </c>
      <c r="L23" s="494" t="s">
        <v>240</v>
      </c>
      <c r="M23" s="425">
        <f t="shared" si="1"/>
        <v>10</v>
      </c>
      <c r="N23" s="1229"/>
      <c r="O23" s="585">
        <f t="shared" si="6"/>
        <v>0</v>
      </c>
      <c r="P23" s="583">
        <f t="shared" si="2"/>
        <v>0</v>
      </c>
      <c r="Q23" s="499">
        <f t="shared" si="7"/>
        <v>0</v>
      </c>
      <c r="R23" s="409">
        <f t="shared" si="8"/>
        <v>0</v>
      </c>
      <c r="S23" s="16"/>
      <c r="T23" s="958">
        <f t="shared" si="30"/>
        <v>16</v>
      </c>
      <c r="U23" s="899"/>
      <c r="V23" s="887" t="s">
        <v>805</v>
      </c>
      <c r="W23" s="978">
        <v>0</v>
      </c>
      <c r="X23" s="687">
        <f>VLOOKUP(V23,Düngemittel!$B$6:$E$64,2,FALSE)*(VLOOKUP(V23,Düngemittel!$B$6:$E$64,3,FALSE))/100*W23</f>
        <v>0</v>
      </c>
      <c r="Y23" s="687">
        <f>VLOOKUP(V23,Düngemittel!$B$6:$E$64,2,FALSE)*W23</f>
        <v>0</v>
      </c>
      <c r="Z23" s="687">
        <f>VLOOKUP(V23,Düngemittel!$B$6:$E$64,4,FALSE)*W23</f>
        <v>0</v>
      </c>
      <c r="AA23" s="666"/>
      <c r="AB23" s="899"/>
      <c r="AC23" s="887" t="s">
        <v>805</v>
      </c>
      <c r="AD23" s="978">
        <v>0</v>
      </c>
      <c r="AE23" s="687">
        <f>VLOOKUP(AC23,Düngemittel!$B$6:$E$64,2,FALSE)*(VLOOKUP(AC23,Düngemittel!$B$6:$E$64,3,FALSE))/100*AD23</f>
        <v>0</v>
      </c>
      <c r="AF23" s="687">
        <f>VLOOKUP(AC23,Düngemittel!$B$6:$E$64,2,FALSE)*AD23</f>
        <v>0</v>
      </c>
      <c r="AG23" s="687">
        <f>VLOOKUP(AC23,Düngemittel!$B$6:$E$64,4,FALSE)*AD23</f>
        <v>0</v>
      </c>
      <c r="AH23" s="666"/>
      <c r="AI23" s="899"/>
      <c r="AJ23" s="887" t="s">
        <v>805</v>
      </c>
      <c r="AK23" s="978">
        <v>0</v>
      </c>
      <c r="AL23" s="687">
        <f>VLOOKUP(AJ23,Düngemittel!$B$6:$E$64,2,FALSE)*(VLOOKUP(AJ23,Düngemittel!$B$6:$E$64,3,FALSE))/100*AK23</f>
        <v>0</v>
      </c>
      <c r="AM23" s="687">
        <f>VLOOKUP(AJ23,Düngemittel!$B$6:$E$64,2,FALSE)*AK23</f>
        <v>0</v>
      </c>
      <c r="AN23" s="687">
        <f>VLOOKUP(AJ23,Düngemittel!$B$6:$E$64,4,FALSE)*AK23</f>
        <v>0</v>
      </c>
      <c r="AO23" s="666"/>
      <c r="AP23" s="899"/>
      <c r="AQ23" s="887" t="s">
        <v>805</v>
      </c>
      <c r="AR23" s="978">
        <v>0</v>
      </c>
      <c r="AS23" s="687">
        <f>VLOOKUP(AQ23,Düngemittel!$B$6:$E$64,2,FALSE)*(VLOOKUP(AQ23,Düngemittel!$B$6:$E$64,3,FALSE))/100*AR23</f>
        <v>0</v>
      </c>
      <c r="AT23" s="687">
        <f>VLOOKUP(AQ23,Düngemittel!$B$6:$E$64,2,FALSE)*AR23</f>
        <v>0</v>
      </c>
      <c r="AU23" s="687">
        <f>VLOOKUP(AQ23,Düngemittel!$B$6:$E$64,4,FALSE)*AR23</f>
        <v>0</v>
      </c>
      <c r="AV23" s="666"/>
      <c r="AW23" s="899"/>
      <c r="AX23" s="887" t="s">
        <v>805</v>
      </c>
      <c r="AY23" s="978">
        <v>0</v>
      </c>
      <c r="AZ23" s="687">
        <f>VLOOKUP(AX23,Düngemittel!$B$6:$E$64,2,FALSE)*(VLOOKUP(AX23,Düngemittel!$B$6:$E$64,3,FALSE))/100*AY23</f>
        <v>0</v>
      </c>
      <c r="BA23" s="687">
        <f>VLOOKUP(AX23,Düngemittel!$B$6:$E$64,2,FALSE)*AY23</f>
        <v>0</v>
      </c>
      <c r="BB23" s="774">
        <f>VLOOKUP(AX23,Düngemittel!$B$6:$E$64,4,FALSE)*AY23</f>
        <v>0</v>
      </c>
      <c r="BC23" s="956"/>
      <c r="BD23" s="853">
        <f t="shared" si="9"/>
        <v>0</v>
      </c>
      <c r="BE23" s="308">
        <f t="shared" si="10"/>
        <v>0</v>
      </c>
      <c r="BF23" s="853">
        <f t="shared" si="11"/>
        <v>0</v>
      </c>
      <c r="BG23" s="777">
        <f t="shared" si="12"/>
        <v>0</v>
      </c>
      <c r="BH23" s="308">
        <f t="shared" si="13"/>
        <v>0</v>
      </c>
      <c r="BI23" s="785"/>
      <c r="BJ23" s="853">
        <f t="shared" si="14"/>
        <v>0</v>
      </c>
      <c r="BK23" s="853">
        <f t="shared" si="15"/>
        <v>0</v>
      </c>
      <c r="BL23" s="853">
        <f t="shared" si="16"/>
        <v>0</v>
      </c>
      <c r="BM23" s="853">
        <f t="shared" si="17"/>
        <v>0</v>
      </c>
      <c r="BN23" s="853">
        <f t="shared" si="18"/>
        <v>0</v>
      </c>
      <c r="BO23" s="16"/>
      <c r="BP23" s="16"/>
      <c r="BQ23" s="984">
        <f t="shared" si="19"/>
        <v>16</v>
      </c>
      <c r="BR23" s="985">
        <f t="shared" si="20"/>
        <v>0</v>
      </c>
      <c r="BS23" s="919"/>
      <c r="BT23" s="974"/>
      <c r="BU23" s="918"/>
      <c r="BV23" s="918"/>
      <c r="BW23" s="918"/>
      <c r="BX23" s="774">
        <f t="shared" si="21"/>
        <v>0</v>
      </c>
      <c r="BY23" s="919"/>
      <c r="BZ23" s="974"/>
      <c r="CA23" s="918"/>
      <c r="CB23" s="918"/>
      <c r="CC23" s="918"/>
      <c r="CD23" s="774">
        <f t="shared" si="22"/>
        <v>0</v>
      </c>
      <c r="CE23" s="919"/>
      <c r="CF23" s="974"/>
      <c r="CG23" s="918"/>
      <c r="CH23" s="918"/>
      <c r="CI23" s="918"/>
      <c r="CJ23" s="774">
        <f t="shared" si="23"/>
        <v>0</v>
      </c>
      <c r="CK23" s="915"/>
    </row>
    <row r="24" spans="1:94" ht="23.25" customHeight="1" x14ac:dyDescent="0.25">
      <c r="A24" s="342">
        <v>17</v>
      </c>
      <c r="B24" s="1222">
        <v>0</v>
      </c>
      <c r="C24" s="451"/>
      <c r="D24" s="418">
        <f t="shared" si="4"/>
        <v>100</v>
      </c>
      <c r="E24" s="918">
        <v>0</v>
      </c>
      <c r="F24" s="1234">
        <v>0</v>
      </c>
      <c r="G24" s="1065">
        <v>0</v>
      </c>
      <c r="H24" s="1225">
        <v>0</v>
      </c>
      <c r="I24" s="421">
        <f t="shared" si="5"/>
        <v>0</v>
      </c>
      <c r="J24" s="492" t="s">
        <v>90</v>
      </c>
      <c r="K24" s="423">
        <f t="shared" si="0"/>
        <v>0</v>
      </c>
      <c r="L24" s="494" t="s">
        <v>240</v>
      </c>
      <c r="M24" s="425">
        <f t="shared" si="1"/>
        <v>10</v>
      </c>
      <c r="N24" s="1229"/>
      <c r="O24" s="585">
        <f t="shared" si="6"/>
        <v>0</v>
      </c>
      <c r="P24" s="583">
        <f t="shared" si="2"/>
        <v>0</v>
      </c>
      <c r="Q24" s="499">
        <f t="shared" si="7"/>
        <v>0</v>
      </c>
      <c r="R24" s="409">
        <f t="shared" si="8"/>
        <v>0</v>
      </c>
      <c r="S24" s="16"/>
      <c r="T24" s="958">
        <f t="shared" si="30"/>
        <v>17</v>
      </c>
      <c r="U24" s="899"/>
      <c r="V24" s="887" t="s">
        <v>805</v>
      </c>
      <c r="W24" s="978">
        <v>0</v>
      </c>
      <c r="X24" s="687">
        <f>VLOOKUP(V24,Düngemittel!$B$6:$E$64,2,FALSE)*(VLOOKUP(V24,Düngemittel!$B$6:$E$64,3,FALSE))/100*W24</f>
        <v>0</v>
      </c>
      <c r="Y24" s="687">
        <f>VLOOKUP(V24,Düngemittel!$B$6:$E$64,2,FALSE)*W24</f>
        <v>0</v>
      </c>
      <c r="Z24" s="687">
        <f>VLOOKUP(V24,Düngemittel!$B$6:$E$64,4,FALSE)*W24</f>
        <v>0</v>
      </c>
      <c r="AA24" s="666"/>
      <c r="AB24" s="899"/>
      <c r="AC24" s="887" t="s">
        <v>805</v>
      </c>
      <c r="AD24" s="978">
        <v>0</v>
      </c>
      <c r="AE24" s="687">
        <f>VLOOKUP(AC24,Düngemittel!$B$6:$E$64,2,FALSE)*(VLOOKUP(AC24,Düngemittel!$B$6:$E$64,3,FALSE))/100*AD24</f>
        <v>0</v>
      </c>
      <c r="AF24" s="687">
        <f>VLOOKUP(AC24,Düngemittel!$B$6:$E$64,2,FALSE)*AD24</f>
        <v>0</v>
      </c>
      <c r="AG24" s="687">
        <f>VLOOKUP(AC24,Düngemittel!$B$6:$E$64,4,FALSE)*AD24</f>
        <v>0</v>
      </c>
      <c r="AH24" s="666"/>
      <c r="AI24" s="899"/>
      <c r="AJ24" s="887" t="s">
        <v>805</v>
      </c>
      <c r="AK24" s="978">
        <v>0</v>
      </c>
      <c r="AL24" s="687">
        <f>VLOOKUP(AJ24,Düngemittel!$B$6:$E$64,2,FALSE)*(VLOOKUP(AJ24,Düngemittel!$B$6:$E$64,3,FALSE))/100*AK24</f>
        <v>0</v>
      </c>
      <c r="AM24" s="687">
        <f>VLOOKUP(AJ24,Düngemittel!$B$6:$E$64,2,FALSE)*AK24</f>
        <v>0</v>
      </c>
      <c r="AN24" s="687">
        <f>VLOOKUP(AJ24,Düngemittel!$B$6:$E$64,4,FALSE)*AK24</f>
        <v>0</v>
      </c>
      <c r="AO24" s="666"/>
      <c r="AP24" s="899"/>
      <c r="AQ24" s="887" t="s">
        <v>805</v>
      </c>
      <c r="AR24" s="978">
        <v>0</v>
      </c>
      <c r="AS24" s="687">
        <f>VLOOKUP(AQ24,Düngemittel!$B$6:$E$64,2,FALSE)*(VLOOKUP(AQ24,Düngemittel!$B$6:$E$64,3,FALSE))/100*AR24</f>
        <v>0</v>
      </c>
      <c r="AT24" s="687">
        <f>VLOOKUP(AQ24,Düngemittel!$B$6:$E$64,2,FALSE)*AR24</f>
        <v>0</v>
      </c>
      <c r="AU24" s="687">
        <f>VLOOKUP(AQ24,Düngemittel!$B$6:$E$64,4,FALSE)*AR24</f>
        <v>0</v>
      </c>
      <c r="AV24" s="666"/>
      <c r="AW24" s="899"/>
      <c r="AX24" s="887" t="s">
        <v>805</v>
      </c>
      <c r="AY24" s="978">
        <v>0</v>
      </c>
      <c r="AZ24" s="687">
        <f>VLOOKUP(AX24,Düngemittel!$B$6:$E$64,2,FALSE)*(VLOOKUP(AX24,Düngemittel!$B$6:$E$64,3,FALSE))/100*AY24</f>
        <v>0</v>
      </c>
      <c r="BA24" s="687">
        <f>VLOOKUP(AX24,Düngemittel!$B$6:$E$64,2,FALSE)*AY24</f>
        <v>0</v>
      </c>
      <c r="BB24" s="774">
        <f>VLOOKUP(AX24,Düngemittel!$B$6:$E$64,4,FALSE)*AY24</f>
        <v>0</v>
      </c>
      <c r="BC24" s="956"/>
      <c r="BD24" s="853">
        <f t="shared" si="9"/>
        <v>0</v>
      </c>
      <c r="BE24" s="308">
        <f t="shared" si="10"/>
        <v>0</v>
      </c>
      <c r="BF24" s="853">
        <f t="shared" si="11"/>
        <v>0</v>
      </c>
      <c r="BG24" s="777">
        <f t="shared" si="12"/>
        <v>0</v>
      </c>
      <c r="BH24" s="308">
        <f t="shared" si="13"/>
        <v>0</v>
      </c>
      <c r="BI24" s="785"/>
      <c r="BJ24" s="853">
        <f t="shared" si="14"/>
        <v>0</v>
      </c>
      <c r="BK24" s="853">
        <f t="shared" si="15"/>
        <v>0</v>
      </c>
      <c r="BL24" s="853">
        <f t="shared" si="16"/>
        <v>0</v>
      </c>
      <c r="BM24" s="853">
        <f t="shared" si="17"/>
        <v>0</v>
      </c>
      <c r="BN24" s="853">
        <f t="shared" si="18"/>
        <v>0</v>
      </c>
      <c r="BO24" s="16"/>
      <c r="BP24" s="16"/>
      <c r="BQ24" s="984">
        <f t="shared" si="19"/>
        <v>17</v>
      </c>
      <c r="BR24" s="985">
        <f t="shared" si="20"/>
        <v>0</v>
      </c>
      <c r="BS24" s="919"/>
      <c r="BT24" s="974"/>
      <c r="BU24" s="918"/>
      <c r="BV24" s="918"/>
      <c r="BW24" s="918"/>
      <c r="BX24" s="774">
        <f t="shared" si="21"/>
        <v>0</v>
      </c>
      <c r="BY24" s="919"/>
      <c r="BZ24" s="974"/>
      <c r="CA24" s="918"/>
      <c r="CB24" s="918"/>
      <c r="CC24" s="918"/>
      <c r="CD24" s="774">
        <f t="shared" si="22"/>
        <v>0</v>
      </c>
      <c r="CE24" s="919"/>
      <c r="CF24" s="974"/>
      <c r="CG24" s="918"/>
      <c r="CH24" s="918"/>
      <c r="CI24" s="918"/>
      <c r="CJ24" s="774">
        <f t="shared" si="23"/>
        <v>0</v>
      </c>
      <c r="CK24" s="915"/>
    </row>
    <row r="25" spans="1:94" ht="23.25" customHeight="1" x14ac:dyDescent="0.25">
      <c r="A25" s="342">
        <v>18</v>
      </c>
      <c r="B25" s="1222">
        <v>0</v>
      </c>
      <c r="C25" s="451"/>
      <c r="D25" s="418">
        <f t="shared" si="4"/>
        <v>100</v>
      </c>
      <c r="E25" s="918">
        <v>0</v>
      </c>
      <c r="F25" s="1234">
        <v>0</v>
      </c>
      <c r="G25" s="1065">
        <v>0</v>
      </c>
      <c r="H25" s="1225">
        <v>0</v>
      </c>
      <c r="I25" s="421">
        <f t="shared" si="5"/>
        <v>0</v>
      </c>
      <c r="J25" s="492" t="s">
        <v>90</v>
      </c>
      <c r="K25" s="423">
        <f t="shared" si="0"/>
        <v>0</v>
      </c>
      <c r="L25" s="494" t="s">
        <v>240</v>
      </c>
      <c r="M25" s="425">
        <f t="shared" si="1"/>
        <v>10</v>
      </c>
      <c r="N25" s="1229"/>
      <c r="O25" s="585">
        <f t="shared" si="6"/>
        <v>0</v>
      </c>
      <c r="P25" s="583">
        <f t="shared" si="2"/>
        <v>0</v>
      </c>
      <c r="Q25" s="499">
        <f t="shared" si="7"/>
        <v>0</v>
      </c>
      <c r="R25" s="409">
        <f t="shared" si="8"/>
        <v>0</v>
      </c>
      <c r="S25" s="16"/>
      <c r="T25" s="958">
        <f t="shared" si="30"/>
        <v>18</v>
      </c>
      <c r="U25" s="899"/>
      <c r="V25" s="887" t="s">
        <v>805</v>
      </c>
      <c r="W25" s="978">
        <v>0</v>
      </c>
      <c r="X25" s="687">
        <f>VLOOKUP(V25,Düngemittel!$B$6:$E$64,2,FALSE)*(VLOOKUP(V25,Düngemittel!$B$6:$E$64,3,FALSE))/100*W25</f>
        <v>0</v>
      </c>
      <c r="Y25" s="687">
        <f>VLOOKUP(V25,Düngemittel!$B$6:$E$64,2,FALSE)*W25</f>
        <v>0</v>
      </c>
      <c r="Z25" s="687">
        <f>VLOOKUP(V25,Düngemittel!$B$6:$E$64,4,FALSE)*W25</f>
        <v>0</v>
      </c>
      <c r="AA25" s="666"/>
      <c r="AB25" s="899"/>
      <c r="AC25" s="887" t="s">
        <v>805</v>
      </c>
      <c r="AD25" s="978">
        <v>0</v>
      </c>
      <c r="AE25" s="687">
        <f>VLOOKUP(AC25,Düngemittel!$B$6:$E$64,2,FALSE)*(VLOOKUP(AC25,Düngemittel!$B$6:$E$64,3,FALSE))/100*AD25</f>
        <v>0</v>
      </c>
      <c r="AF25" s="687">
        <f>VLOOKUP(AC25,Düngemittel!$B$6:$E$64,2,FALSE)*AD25</f>
        <v>0</v>
      </c>
      <c r="AG25" s="687">
        <f>VLOOKUP(AC25,Düngemittel!$B$6:$E$64,4,FALSE)*AD25</f>
        <v>0</v>
      </c>
      <c r="AH25" s="666"/>
      <c r="AI25" s="899"/>
      <c r="AJ25" s="887" t="s">
        <v>805</v>
      </c>
      <c r="AK25" s="978">
        <v>0</v>
      </c>
      <c r="AL25" s="687">
        <f>VLOOKUP(AJ25,Düngemittel!$B$6:$E$64,2,FALSE)*(VLOOKUP(AJ25,Düngemittel!$B$6:$E$64,3,FALSE))/100*AK25</f>
        <v>0</v>
      </c>
      <c r="AM25" s="687">
        <f>VLOOKUP(AJ25,Düngemittel!$B$6:$E$64,2,FALSE)*AK25</f>
        <v>0</v>
      </c>
      <c r="AN25" s="687">
        <f>VLOOKUP(AJ25,Düngemittel!$B$6:$E$64,4,FALSE)*AK25</f>
        <v>0</v>
      </c>
      <c r="AO25" s="666"/>
      <c r="AP25" s="899"/>
      <c r="AQ25" s="887" t="s">
        <v>805</v>
      </c>
      <c r="AR25" s="978">
        <v>0</v>
      </c>
      <c r="AS25" s="687">
        <f>VLOOKUP(AQ25,Düngemittel!$B$6:$E$64,2,FALSE)*(VLOOKUP(AQ25,Düngemittel!$B$6:$E$64,3,FALSE))/100*AR25</f>
        <v>0</v>
      </c>
      <c r="AT25" s="687">
        <f>VLOOKUP(AQ25,Düngemittel!$B$6:$E$64,2,FALSE)*AR25</f>
        <v>0</v>
      </c>
      <c r="AU25" s="687">
        <f>VLOOKUP(AQ25,Düngemittel!$B$6:$E$64,4,FALSE)*AR25</f>
        <v>0</v>
      </c>
      <c r="AV25" s="666"/>
      <c r="AW25" s="899"/>
      <c r="AX25" s="887" t="s">
        <v>805</v>
      </c>
      <c r="AY25" s="978">
        <v>0</v>
      </c>
      <c r="AZ25" s="687">
        <f>VLOOKUP(AX25,Düngemittel!$B$6:$E$64,2,FALSE)*(VLOOKUP(AX25,Düngemittel!$B$6:$E$64,3,FALSE))/100*AY25</f>
        <v>0</v>
      </c>
      <c r="BA25" s="687">
        <f>VLOOKUP(AX25,Düngemittel!$B$6:$E$64,2,FALSE)*AY25</f>
        <v>0</v>
      </c>
      <c r="BB25" s="774">
        <f>VLOOKUP(AX25,Düngemittel!$B$6:$E$64,4,FALSE)*AY25</f>
        <v>0</v>
      </c>
      <c r="BC25" s="956"/>
      <c r="BD25" s="853">
        <f t="shared" si="9"/>
        <v>0</v>
      </c>
      <c r="BE25" s="308">
        <f t="shared" si="10"/>
        <v>0</v>
      </c>
      <c r="BF25" s="853">
        <f t="shared" si="11"/>
        <v>0</v>
      </c>
      <c r="BG25" s="777">
        <f t="shared" si="12"/>
        <v>0</v>
      </c>
      <c r="BH25" s="308">
        <f t="shared" si="13"/>
        <v>0</v>
      </c>
      <c r="BI25" s="785"/>
      <c r="BJ25" s="853">
        <f t="shared" si="14"/>
        <v>0</v>
      </c>
      <c r="BK25" s="853">
        <f t="shared" si="15"/>
        <v>0</v>
      </c>
      <c r="BL25" s="853">
        <f t="shared" si="16"/>
        <v>0</v>
      </c>
      <c r="BM25" s="853">
        <f t="shared" si="17"/>
        <v>0</v>
      </c>
      <c r="BN25" s="853">
        <f t="shared" si="18"/>
        <v>0</v>
      </c>
      <c r="BO25" s="16"/>
      <c r="BP25" s="16"/>
      <c r="BQ25" s="984">
        <f t="shared" si="19"/>
        <v>18</v>
      </c>
      <c r="BR25" s="985">
        <f t="shared" si="20"/>
        <v>0</v>
      </c>
      <c r="BS25" s="919"/>
      <c r="BT25" s="974"/>
      <c r="BU25" s="918"/>
      <c r="BV25" s="918"/>
      <c r="BW25" s="918"/>
      <c r="BX25" s="774">
        <f t="shared" si="21"/>
        <v>0</v>
      </c>
      <c r="BY25" s="919"/>
      <c r="BZ25" s="974"/>
      <c r="CA25" s="918"/>
      <c r="CB25" s="918"/>
      <c r="CC25" s="918"/>
      <c r="CD25" s="774">
        <f t="shared" si="22"/>
        <v>0</v>
      </c>
      <c r="CE25" s="919"/>
      <c r="CF25" s="974"/>
      <c r="CG25" s="918"/>
      <c r="CH25" s="918"/>
      <c r="CI25" s="918"/>
      <c r="CJ25" s="774">
        <f t="shared" si="23"/>
        <v>0</v>
      </c>
      <c r="CK25" s="915"/>
    </row>
    <row r="26" spans="1:94" ht="23.25" customHeight="1" x14ac:dyDescent="0.25">
      <c r="A26" s="342">
        <v>19</v>
      </c>
      <c r="B26" s="1222">
        <v>0</v>
      </c>
      <c r="C26" s="451"/>
      <c r="D26" s="418">
        <f t="shared" si="4"/>
        <v>100</v>
      </c>
      <c r="E26" s="918">
        <v>0</v>
      </c>
      <c r="F26" s="1234">
        <v>0</v>
      </c>
      <c r="G26" s="1065">
        <v>0</v>
      </c>
      <c r="H26" s="1225">
        <v>0</v>
      </c>
      <c r="I26" s="421">
        <f t="shared" si="5"/>
        <v>0</v>
      </c>
      <c r="J26" s="492" t="s">
        <v>90</v>
      </c>
      <c r="K26" s="423">
        <f t="shared" si="0"/>
        <v>0</v>
      </c>
      <c r="L26" s="494" t="s">
        <v>240</v>
      </c>
      <c r="M26" s="425">
        <f t="shared" si="1"/>
        <v>10</v>
      </c>
      <c r="N26" s="1229"/>
      <c r="O26" s="585">
        <f t="shared" si="6"/>
        <v>0</v>
      </c>
      <c r="P26" s="583">
        <f t="shared" si="2"/>
        <v>0</v>
      </c>
      <c r="Q26" s="499">
        <f t="shared" si="7"/>
        <v>0</v>
      </c>
      <c r="R26" s="409">
        <f t="shared" si="8"/>
        <v>0</v>
      </c>
      <c r="S26" s="16"/>
      <c r="T26" s="958">
        <f t="shared" si="30"/>
        <v>19</v>
      </c>
      <c r="U26" s="899"/>
      <c r="V26" s="887" t="s">
        <v>805</v>
      </c>
      <c r="W26" s="978">
        <v>0</v>
      </c>
      <c r="X26" s="687">
        <f>VLOOKUP(V26,Düngemittel!$B$6:$E$64,2,FALSE)*(VLOOKUP(V26,Düngemittel!$B$6:$E$64,3,FALSE))/100*W26</f>
        <v>0</v>
      </c>
      <c r="Y26" s="687">
        <f>VLOOKUP(V26,Düngemittel!$B$6:$E$64,2,FALSE)*W26</f>
        <v>0</v>
      </c>
      <c r="Z26" s="687">
        <f>VLOOKUP(V26,Düngemittel!$B$6:$E$64,4,FALSE)*W26</f>
        <v>0</v>
      </c>
      <c r="AA26" s="666"/>
      <c r="AB26" s="899"/>
      <c r="AC26" s="887" t="s">
        <v>805</v>
      </c>
      <c r="AD26" s="978">
        <v>0</v>
      </c>
      <c r="AE26" s="687">
        <f>VLOOKUP(AC26,Düngemittel!$B$6:$E$64,2,FALSE)*(VLOOKUP(AC26,Düngemittel!$B$6:$E$64,3,FALSE))/100*AD26</f>
        <v>0</v>
      </c>
      <c r="AF26" s="687">
        <f>VLOOKUP(AC26,Düngemittel!$B$6:$E$64,2,FALSE)*AD26</f>
        <v>0</v>
      </c>
      <c r="AG26" s="687">
        <f>VLOOKUP(AC26,Düngemittel!$B$6:$E$64,4,FALSE)*AD26</f>
        <v>0</v>
      </c>
      <c r="AH26" s="666"/>
      <c r="AI26" s="899"/>
      <c r="AJ26" s="887" t="s">
        <v>805</v>
      </c>
      <c r="AK26" s="978">
        <v>0</v>
      </c>
      <c r="AL26" s="687">
        <f>VLOOKUP(AJ26,Düngemittel!$B$6:$E$64,2,FALSE)*(VLOOKUP(AJ26,Düngemittel!$B$6:$E$64,3,FALSE))/100*AK26</f>
        <v>0</v>
      </c>
      <c r="AM26" s="687">
        <f>VLOOKUP(AJ26,Düngemittel!$B$6:$E$64,2,FALSE)*AK26</f>
        <v>0</v>
      </c>
      <c r="AN26" s="687">
        <f>VLOOKUP(AJ26,Düngemittel!$B$6:$E$64,4,FALSE)*AK26</f>
        <v>0</v>
      </c>
      <c r="AO26" s="666"/>
      <c r="AP26" s="899"/>
      <c r="AQ26" s="887" t="s">
        <v>805</v>
      </c>
      <c r="AR26" s="978">
        <v>0</v>
      </c>
      <c r="AS26" s="687">
        <f>VLOOKUP(AQ26,Düngemittel!$B$6:$E$64,2,FALSE)*(VLOOKUP(AQ26,Düngemittel!$B$6:$E$64,3,FALSE))/100*AR26</f>
        <v>0</v>
      </c>
      <c r="AT26" s="687">
        <f>VLOOKUP(AQ26,Düngemittel!$B$6:$E$64,2,FALSE)*AR26</f>
        <v>0</v>
      </c>
      <c r="AU26" s="687">
        <f>VLOOKUP(AQ26,Düngemittel!$B$6:$E$64,4,FALSE)*AR26</f>
        <v>0</v>
      </c>
      <c r="AV26" s="666"/>
      <c r="AW26" s="899"/>
      <c r="AX26" s="887" t="s">
        <v>805</v>
      </c>
      <c r="AY26" s="978">
        <v>0</v>
      </c>
      <c r="AZ26" s="687">
        <f>VLOOKUP(AX26,Düngemittel!$B$6:$E$64,2,FALSE)*(VLOOKUP(AX26,Düngemittel!$B$6:$E$64,3,FALSE))/100*AY26</f>
        <v>0</v>
      </c>
      <c r="BA26" s="687">
        <f>VLOOKUP(AX26,Düngemittel!$B$6:$E$64,2,FALSE)*AY26</f>
        <v>0</v>
      </c>
      <c r="BB26" s="774">
        <f>VLOOKUP(AX26,Düngemittel!$B$6:$E$64,4,FALSE)*AY26</f>
        <v>0</v>
      </c>
      <c r="BC26" s="956"/>
      <c r="BD26" s="853">
        <f t="shared" si="9"/>
        <v>0</v>
      </c>
      <c r="BE26" s="308">
        <f t="shared" si="10"/>
        <v>0</v>
      </c>
      <c r="BF26" s="853">
        <f t="shared" si="11"/>
        <v>0</v>
      </c>
      <c r="BG26" s="777">
        <f t="shared" si="12"/>
        <v>0</v>
      </c>
      <c r="BH26" s="308">
        <f t="shared" si="13"/>
        <v>0</v>
      </c>
      <c r="BI26" s="785"/>
      <c r="BJ26" s="853">
        <f t="shared" si="14"/>
        <v>0</v>
      </c>
      <c r="BK26" s="853">
        <f t="shared" si="15"/>
        <v>0</v>
      </c>
      <c r="BL26" s="853">
        <f t="shared" si="16"/>
        <v>0</v>
      </c>
      <c r="BM26" s="853">
        <f t="shared" si="17"/>
        <v>0</v>
      </c>
      <c r="BN26" s="853">
        <f t="shared" si="18"/>
        <v>0</v>
      </c>
      <c r="BO26" s="16"/>
      <c r="BP26" s="16"/>
      <c r="BQ26" s="984">
        <f t="shared" si="19"/>
        <v>19</v>
      </c>
      <c r="BR26" s="985">
        <f t="shared" si="20"/>
        <v>0</v>
      </c>
      <c r="BS26" s="919"/>
      <c r="BT26" s="974"/>
      <c r="BU26" s="918"/>
      <c r="BV26" s="918"/>
      <c r="BW26" s="918"/>
      <c r="BX26" s="774">
        <f t="shared" si="21"/>
        <v>0</v>
      </c>
      <c r="BY26" s="919"/>
      <c r="BZ26" s="974"/>
      <c r="CA26" s="918"/>
      <c r="CB26" s="918"/>
      <c r="CC26" s="918"/>
      <c r="CD26" s="774">
        <f t="shared" si="22"/>
        <v>0</v>
      </c>
      <c r="CE26" s="919"/>
      <c r="CF26" s="974"/>
      <c r="CG26" s="918"/>
      <c r="CH26" s="918"/>
      <c r="CI26" s="918"/>
      <c r="CJ26" s="774">
        <f t="shared" si="23"/>
        <v>0</v>
      </c>
      <c r="CK26" s="915"/>
    </row>
    <row r="27" spans="1:94" ht="23.25" customHeight="1" x14ac:dyDescent="0.25">
      <c r="A27" s="342">
        <v>20</v>
      </c>
      <c r="B27" s="1222">
        <v>0</v>
      </c>
      <c r="C27" s="451"/>
      <c r="D27" s="418">
        <f t="shared" ref="D27:D29" si="37">100-E27-F27</f>
        <v>100</v>
      </c>
      <c r="E27" s="918">
        <v>0</v>
      </c>
      <c r="F27" s="1234">
        <v>0</v>
      </c>
      <c r="G27" s="1065">
        <v>0</v>
      </c>
      <c r="H27" s="1225">
        <v>0</v>
      </c>
      <c r="I27" s="421">
        <f t="shared" ref="I27:I29" si="38">((G27*D27/100)+(G27*E27*0.5/100)+G27*F27*0.75/100)*H27/6.25</f>
        <v>0</v>
      </c>
      <c r="J27" s="492" t="s">
        <v>90</v>
      </c>
      <c r="K27" s="423">
        <f t="shared" si="0"/>
        <v>0</v>
      </c>
      <c r="L27" s="494" t="s">
        <v>240</v>
      </c>
      <c r="M27" s="425">
        <f t="shared" si="1"/>
        <v>10</v>
      </c>
      <c r="N27" s="1229"/>
      <c r="O27" s="585">
        <f t="shared" ref="O27:O29" si="39">IF(I27-M27-K27-N27&lt;0,0,I27-M27-K27-N27)</f>
        <v>0</v>
      </c>
      <c r="P27" s="583">
        <f t="shared" ref="P27:P29" si="40">IF(O27&lt;0,0,O27*B27)</f>
        <v>0</v>
      </c>
      <c r="Q27" s="499">
        <f t="shared" ref="Q27:Q29" si="41">G27*(D27/100+E27*0.5/100+F27*0.75/100)*(0.25+0.43*H27/6.25-0.06*H27/6.25*H27/6.25)</f>
        <v>0</v>
      </c>
      <c r="R27" s="409">
        <f t="shared" ref="R27:R29" si="42">B27*Q27</f>
        <v>0</v>
      </c>
      <c r="S27" s="16"/>
      <c r="T27" s="958">
        <f t="shared" si="30"/>
        <v>20</v>
      </c>
      <c r="U27" s="899"/>
      <c r="V27" s="887" t="s">
        <v>805</v>
      </c>
      <c r="W27" s="978">
        <v>0</v>
      </c>
      <c r="X27" s="687">
        <f>VLOOKUP(V27,Düngemittel!$B$6:$E$64,2,FALSE)*(VLOOKUP(V27,Düngemittel!$B$6:$E$64,3,FALSE))/100*W27</f>
        <v>0</v>
      </c>
      <c r="Y27" s="687">
        <f>VLOOKUP(V27,Düngemittel!$B$6:$E$64,2,FALSE)*W27</f>
        <v>0</v>
      </c>
      <c r="Z27" s="687">
        <f>VLOOKUP(V27,Düngemittel!$B$6:$E$64,4,FALSE)*W27</f>
        <v>0</v>
      </c>
      <c r="AA27" s="666"/>
      <c r="AB27" s="899"/>
      <c r="AC27" s="887" t="s">
        <v>805</v>
      </c>
      <c r="AD27" s="978">
        <v>0</v>
      </c>
      <c r="AE27" s="687">
        <f>VLOOKUP(AC27,Düngemittel!$B$6:$E$64,2,FALSE)*(VLOOKUP(AC27,Düngemittel!$B$6:$E$64,3,FALSE))/100*AD27</f>
        <v>0</v>
      </c>
      <c r="AF27" s="687">
        <f>VLOOKUP(AC27,Düngemittel!$B$6:$E$64,2,FALSE)*AD27</f>
        <v>0</v>
      </c>
      <c r="AG27" s="687">
        <f>VLOOKUP(AC27,Düngemittel!$B$6:$E$64,4,FALSE)*AD27</f>
        <v>0</v>
      </c>
      <c r="AH27" s="666"/>
      <c r="AI27" s="899"/>
      <c r="AJ27" s="887" t="s">
        <v>805</v>
      </c>
      <c r="AK27" s="978">
        <v>0</v>
      </c>
      <c r="AL27" s="687">
        <f>VLOOKUP(AJ27,Düngemittel!$B$6:$E$64,2,FALSE)*(VLOOKUP(AJ27,Düngemittel!$B$6:$E$64,3,FALSE))/100*AK27</f>
        <v>0</v>
      </c>
      <c r="AM27" s="687">
        <f>VLOOKUP(AJ27,Düngemittel!$B$6:$E$64,2,FALSE)*AK27</f>
        <v>0</v>
      </c>
      <c r="AN27" s="687">
        <f>VLOOKUP(AJ27,Düngemittel!$B$6:$E$64,4,FALSE)*AK27</f>
        <v>0</v>
      </c>
      <c r="AO27" s="666"/>
      <c r="AP27" s="899"/>
      <c r="AQ27" s="887" t="s">
        <v>805</v>
      </c>
      <c r="AR27" s="978">
        <v>0</v>
      </c>
      <c r="AS27" s="687">
        <f>VLOOKUP(AQ27,Düngemittel!$B$6:$E$64,2,FALSE)*(VLOOKUP(AQ27,Düngemittel!$B$6:$E$64,3,FALSE))/100*AR27</f>
        <v>0</v>
      </c>
      <c r="AT27" s="687">
        <f>VLOOKUP(AQ27,Düngemittel!$B$6:$E$64,2,FALSE)*AR27</f>
        <v>0</v>
      </c>
      <c r="AU27" s="687">
        <f>VLOOKUP(AQ27,Düngemittel!$B$6:$E$64,4,FALSE)*AR27</f>
        <v>0</v>
      </c>
      <c r="AV27" s="666"/>
      <c r="AW27" s="899"/>
      <c r="AX27" s="887" t="s">
        <v>805</v>
      </c>
      <c r="AY27" s="978">
        <v>0</v>
      </c>
      <c r="AZ27" s="687">
        <f>VLOOKUP(AX27,Düngemittel!$B$6:$E$64,2,FALSE)*(VLOOKUP(AX27,Düngemittel!$B$6:$E$64,3,FALSE))/100*AY27</f>
        <v>0</v>
      </c>
      <c r="BA27" s="687">
        <f>VLOOKUP(AX27,Düngemittel!$B$6:$E$64,2,FALSE)*AY27</f>
        <v>0</v>
      </c>
      <c r="BB27" s="774">
        <f>VLOOKUP(AX27,Düngemittel!$B$6:$E$64,4,FALSE)*AY27</f>
        <v>0</v>
      </c>
      <c r="BC27" s="956"/>
      <c r="BD27" s="853">
        <f t="shared" si="9"/>
        <v>0</v>
      </c>
      <c r="BE27" s="308">
        <f t="shared" si="10"/>
        <v>0</v>
      </c>
      <c r="BF27" s="853">
        <f t="shared" si="11"/>
        <v>0</v>
      </c>
      <c r="BG27" s="777">
        <f t="shared" si="12"/>
        <v>0</v>
      </c>
      <c r="BH27" s="308">
        <f t="shared" si="13"/>
        <v>0</v>
      </c>
      <c r="BI27" s="785"/>
      <c r="BJ27" s="853">
        <f t="shared" si="14"/>
        <v>0</v>
      </c>
      <c r="BK27" s="853">
        <f t="shared" si="15"/>
        <v>0</v>
      </c>
      <c r="BL27" s="853">
        <f t="shared" si="16"/>
        <v>0</v>
      </c>
      <c r="BM27" s="853">
        <f t="shared" si="17"/>
        <v>0</v>
      </c>
      <c r="BN27" s="853">
        <f t="shared" si="18"/>
        <v>0</v>
      </c>
      <c r="BO27" s="16"/>
      <c r="BP27" s="16"/>
      <c r="BQ27" s="984">
        <f t="shared" si="19"/>
        <v>20</v>
      </c>
      <c r="BR27" s="985">
        <f t="shared" si="20"/>
        <v>0</v>
      </c>
      <c r="BS27" s="919"/>
      <c r="BT27" s="974"/>
      <c r="BU27" s="918"/>
      <c r="BV27" s="918"/>
      <c r="BW27" s="918"/>
      <c r="BX27" s="774">
        <f t="shared" si="21"/>
        <v>0</v>
      </c>
      <c r="BY27" s="919"/>
      <c r="BZ27" s="974"/>
      <c r="CA27" s="918"/>
      <c r="CB27" s="918"/>
      <c r="CC27" s="918"/>
      <c r="CD27" s="774">
        <f t="shared" si="22"/>
        <v>0</v>
      </c>
      <c r="CE27" s="919"/>
      <c r="CF27" s="974"/>
      <c r="CG27" s="918"/>
      <c r="CH27" s="918"/>
      <c r="CI27" s="918"/>
      <c r="CJ27" s="774">
        <f t="shared" si="23"/>
        <v>0</v>
      </c>
      <c r="CK27" s="915"/>
    </row>
    <row r="28" spans="1:94" ht="23.25" customHeight="1" x14ac:dyDescent="0.25">
      <c r="A28" s="342">
        <v>21</v>
      </c>
      <c r="B28" s="1222">
        <v>0</v>
      </c>
      <c r="C28" s="451"/>
      <c r="D28" s="418">
        <f t="shared" si="37"/>
        <v>100</v>
      </c>
      <c r="E28" s="918">
        <v>0</v>
      </c>
      <c r="F28" s="1234">
        <v>0</v>
      </c>
      <c r="G28" s="1065">
        <v>0</v>
      </c>
      <c r="H28" s="1225">
        <v>0</v>
      </c>
      <c r="I28" s="421">
        <f t="shared" si="38"/>
        <v>0</v>
      </c>
      <c r="J28" s="492" t="s">
        <v>90</v>
      </c>
      <c r="K28" s="423">
        <f t="shared" si="0"/>
        <v>0</v>
      </c>
      <c r="L28" s="494" t="s">
        <v>240</v>
      </c>
      <c r="M28" s="425">
        <f t="shared" si="1"/>
        <v>10</v>
      </c>
      <c r="N28" s="1229"/>
      <c r="O28" s="585">
        <f t="shared" si="39"/>
        <v>0</v>
      </c>
      <c r="P28" s="583">
        <f t="shared" si="40"/>
        <v>0</v>
      </c>
      <c r="Q28" s="499">
        <f t="shared" si="41"/>
        <v>0</v>
      </c>
      <c r="R28" s="409">
        <f t="shared" si="42"/>
        <v>0</v>
      </c>
      <c r="S28" s="16"/>
      <c r="T28" s="958">
        <f t="shared" si="30"/>
        <v>21</v>
      </c>
      <c r="U28" s="899"/>
      <c r="V28" s="887" t="s">
        <v>805</v>
      </c>
      <c r="W28" s="978">
        <v>0</v>
      </c>
      <c r="X28" s="687">
        <f>VLOOKUP(V28,Düngemittel!$B$6:$E$64,2,FALSE)*(VLOOKUP(V28,Düngemittel!$B$6:$E$64,3,FALSE))/100*W28</f>
        <v>0</v>
      </c>
      <c r="Y28" s="687">
        <f>VLOOKUP(V28,Düngemittel!$B$6:$E$64,2,FALSE)*W28</f>
        <v>0</v>
      </c>
      <c r="Z28" s="687">
        <f>VLOOKUP(V28,Düngemittel!$B$6:$E$64,4,FALSE)*W28</f>
        <v>0</v>
      </c>
      <c r="AA28" s="666"/>
      <c r="AB28" s="899"/>
      <c r="AC28" s="887" t="s">
        <v>805</v>
      </c>
      <c r="AD28" s="978">
        <v>0</v>
      </c>
      <c r="AE28" s="687">
        <f>VLOOKUP(AC28,Düngemittel!$B$6:$E$64,2,FALSE)*(VLOOKUP(AC28,Düngemittel!$B$6:$E$64,3,FALSE))/100*AD28</f>
        <v>0</v>
      </c>
      <c r="AF28" s="687">
        <f>VLOOKUP(AC28,Düngemittel!$B$6:$E$64,2,FALSE)*AD28</f>
        <v>0</v>
      </c>
      <c r="AG28" s="687">
        <f>VLOOKUP(AC28,Düngemittel!$B$6:$E$64,4,FALSE)*AD28</f>
        <v>0</v>
      </c>
      <c r="AH28" s="666"/>
      <c r="AI28" s="899"/>
      <c r="AJ28" s="887" t="s">
        <v>805</v>
      </c>
      <c r="AK28" s="978">
        <v>0</v>
      </c>
      <c r="AL28" s="687">
        <f>VLOOKUP(AJ28,Düngemittel!$B$6:$E$64,2,FALSE)*(VLOOKUP(AJ28,Düngemittel!$B$6:$E$64,3,FALSE))/100*AK28</f>
        <v>0</v>
      </c>
      <c r="AM28" s="687">
        <f>VLOOKUP(AJ28,Düngemittel!$B$6:$E$64,2,FALSE)*AK28</f>
        <v>0</v>
      </c>
      <c r="AN28" s="687">
        <f>VLOOKUP(AJ28,Düngemittel!$B$6:$E$64,4,FALSE)*AK28</f>
        <v>0</v>
      </c>
      <c r="AO28" s="666"/>
      <c r="AP28" s="899"/>
      <c r="AQ28" s="887" t="s">
        <v>805</v>
      </c>
      <c r="AR28" s="978">
        <v>0</v>
      </c>
      <c r="AS28" s="687">
        <f>VLOOKUP(AQ28,Düngemittel!$B$6:$E$64,2,FALSE)*(VLOOKUP(AQ28,Düngemittel!$B$6:$E$64,3,FALSE))/100*AR28</f>
        <v>0</v>
      </c>
      <c r="AT28" s="687">
        <f>VLOOKUP(AQ28,Düngemittel!$B$6:$E$64,2,FALSE)*AR28</f>
        <v>0</v>
      </c>
      <c r="AU28" s="687">
        <f>VLOOKUP(AQ28,Düngemittel!$B$6:$E$64,4,FALSE)*AR28</f>
        <v>0</v>
      </c>
      <c r="AV28" s="666"/>
      <c r="AW28" s="899"/>
      <c r="AX28" s="887" t="s">
        <v>805</v>
      </c>
      <c r="AY28" s="978">
        <v>0</v>
      </c>
      <c r="AZ28" s="687">
        <f>VLOOKUP(AX28,Düngemittel!$B$6:$E$64,2,FALSE)*(VLOOKUP(AX28,Düngemittel!$B$6:$E$64,3,FALSE))/100*AY28</f>
        <v>0</v>
      </c>
      <c r="BA28" s="687">
        <f>VLOOKUP(AX28,Düngemittel!$B$6:$E$64,2,FALSE)*AY28</f>
        <v>0</v>
      </c>
      <c r="BB28" s="774">
        <f>VLOOKUP(AX28,Düngemittel!$B$6:$E$64,4,FALSE)*AY28</f>
        <v>0</v>
      </c>
      <c r="BC28" s="956"/>
      <c r="BD28" s="853">
        <f t="shared" si="9"/>
        <v>0</v>
      </c>
      <c r="BE28" s="308">
        <f t="shared" si="10"/>
        <v>0</v>
      </c>
      <c r="BF28" s="853">
        <f t="shared" si="11"/>
        <v>0</v>
      </c>
      <c r="BG28" s="777">
        <f t="shared" si="12"/>
        <v>0</v>
      </c>
      <c r="BH28" s="308">
        <f t="shared" si="13"/>
        <v>0</v>
      </c>
      <c r="BI28" s="785"/>
      <c r="BJ28" s="853">
        <f t="shared" si="14"/>
        <v>0</v>
      </c>
      <c r="BK28" s="853">
        <f t="shared" si="15"/>
        <v>0</v>
      </c>
      <c r="BL28" s="853">
        <f t="shared" si="16"/>
        <v>0</v>
      </c>
      <c r="BM28" s="853">
        <f t="shared" si="17"/>
        <v>0</v>
      </c>
      <c r="BN28" s="853">
        <f t="shared" si="18"/>
        <v>0</v>
      </c>
      <c r="BO28" s="16"/>
      <c r="BP28" s="16"/>
      <c r="BQ28" s="984">
        <f t="shared" si="19"/>
        <v>21</v>
      </c>
      <c r="BR28" s="985">
        <f t="shared" si="20"/>
        <v>0</v>
      </c>
      <c r="BS28" s="919"/>
      <c r="BT28" s="974"/>
      <c r="BU28" s="918"/>
      <c r="BV28" s="918"/>
      <c r="BW28" s="918"/>
      <c r="BX28" s="774">
        <f t="shared" si="21"/>
        <v>0</v>
      </c>
      <c r="BY28" s="919"/>
      <c r="BZ28" s="974"/>
      <c r="CA28" s="918"/>
      <c r="CB28" s="918"/>
      <c r="CC28" s="918"/>
      <c r="CD28" s="774">
        <f t="shared" si="22"/>
        <v>0</v>
      </c>
      <c r="CE28" s="919"/>
      <c r="CF28" s="974"/>
      <c r="CG28" s="918"/>
      <c r="CH28" s="918"/>
      <c r="CI28" s="918"/>
      <c r="CJ28" s="774">
        <f t="shared" si="23"/>
        <v>0</v>
      </c>
      <c r="CK28" s="915"/>
    </row>
    <row r="29" spans="1:94" ht="23.25" customHeight="1" x14ac:dyDescent="0.25">
      <c r="A29" s="342">
        <v>22</v>
      </c>
      <c r="B29" s="1222">
        <v>0</v>
      </c>
      <c r="C29" s="455"/>
      <c r="D29" s="418">
        <f t="shared" si="37"/>
        <v>100</v>
      </c>
      <c r="E29" s="918">
        <v>0</v>
      </c>
      <c r="F29" s="1234">
        <v>0</v>
      </c>
      <c r="G29" s="1065">
        <v>0</v>
      </c>
      <c r="H29" s="1225">
        <v>0</v>
      </c>
      <c r="I29" s="421">
        <f t="shared" si="38"/>
        <v>0</v>
      </c>
      <c r="J29" s="492" t="s">
        <v>90</v>
      </c>
      <c r="K29" s="423">
        <f t="shared" si="0"/>
        <v>0</v>
      </c>
      <c r="L29" s="494" t="s">
        <v>240</v>
      </c>
      <c r="M29" s="425">
        <f t="shared" si="1"/>
        <v>10</v>
      </c>
      <c r="N29" s="1229"/>
      <c r="O29" s="585">
        <f t="shared" si="39"/>
        <v>0</v>
      </c>
      <c r="P29" s="583">
        <f t="shared" si="40"/>
        <v>0</v>
      </c>
      <c r="Q29" s="499">
        <f t="shared" si="41"/>
        <v>0</v>
      </c>
      <c r="R29" s="409">
        <f t="shared" si="42"/>
        <v>0</v>
      </c>
      <c r="S29" s="16"/>
      <c r="T29" s="958">
        <f t="shared" si="30"/>
        <v>22</v>
      </c>
      <c r="U29" s="899"/>
      <c r="V29" s="887" t="s">
        <v>805</v>
      </c>
      <c r="W29" s="978">
        <v>0</v>
      </c>
      <c r="X29" s="687">
        <f>VLOOKUP(V29,Düngemittel!$B$6:$E$64,2,FALSE)*(VLOOKUP(V29,Düngemittel!$B$6:$E$64,3,FALSE))/100*W29</f>
        <v>0</v>
      </c>
      <c r="Y29" s="687">
        <f>VLOOKUP(V29,Düngemittel!$B$6:$E$64,2,FALSE)*W29</f>
        <v>0</v>
      </c>
      <c r="Z29" s="687">
        <f>VLOOKUP(V29,Düngemittel!$B$6:$E$64,4,FALSE)*W29</f>
        <v>0</v>
      </c>
      <c r="AA29" s="666"/>
      <c r="AB29" s="899"/>
      <c r="AC29" s="887" t="s">
        <v>805</v>
      </c>
      <c r="AD29" s="978">
        <v>0</v>
      </c>
      <c r="AE29" s="687">
        <f>VLOOKUP(AC29,Düngemittel!$B$6:$E$64,2,FALSE)*(VLOOKUP(AC29,Düngemittel!$B$6:$E$64,3,FALSE))/100*AD29</f>
        <v>0</v>
      </c>
      <c r="AF29" s="687">
        <f>VLOOKUP(AC29,Düngemittel!$B$6:$E$64,2,FALSE)*AD29</f>
        <v>0</v>
      </c>
      <c r="AG29" s="687">
        <f>VLOOKUP(AC29,Düngemittel!$B$6:$E$64,4,FALSE)*AD29</f>
        <v>0</v>
      </c>
      <c r="AH29" s="666"/>
      <c r="AI29" s="899"/>
      <c r="AJ29" s="887" t="s">
        <v>805</v>
      </c>
      <c r="AK29" s="978">
        <v>0</v>
      </c>
      <c r="AL29" s="687">
        <f>VLOOKUP(AJ29,Düngemittel!$B$6:$E$64,2,FALSE)*(VLOOKUP(AJ29,Düngemittel!$B$6:$E$64,3,FALSE))/100*AK29</f>
        <v>0</v>
      </c>
      <c r="AM29" s="687">
        <f>VLOOKUP(AJ29,Düngemittel!$B$6:$E$64,2,FALSE)*AK29</f>
        <v>0</v>
      </c>
      <c r="AN29" s="687">
        <f>VLOOKUP(AJ29,Düngemittel!$B$6:$E$64,4,FALSE)*AK29</f>
        <v>0</v>
      </c>
      <c r="AO29" s="666"/>
      <c r="AP29" s="899"/>
      <c r="AQ29" s="887" t="s">
        <v>805</v>
      </c>
      <c r="AR29" s="978">
        <v>0</v>
      </c>
      <c r="AS29" s="687">
        <f>VLOOKUP(AQ29,Düngemittel!$B$6:$E$64,2,FALSE)*(VLOOKUP(AQ29,Düngemittel!$B$6:$E$64,3,FALSE))/100*AR29</f>
        <v>0</v>
      </c>
      <c r="AT29" s="687">
        <f>VLOOKUP(AQ29,Düngemittel!$B$6:$E$64,2,FALSE)*AR29</f>
        <v>0</v>
      </c>
      <c r="AU29" s="687">
        <f>VLOOKUP(AQ29,Düngemittel!$B$6:$E$64,4,FALSE)*AR29</f>
        <v>0</v>
      </c>
      <c r="AV29" s="666"/>
      <c r="AW29" s="899"/>
      <c r="AX29" s="887" t="s">
        <v>805</v>
      </c>
      <c r="AY29" s="978">
        <v>0</v>
      </c>
      <c r="AZ29" s="687">
        <f>VLOOKUP(AX29,Düngemittel!$B$6:$E$64,2,FALSE)*(VLOOKUP(AX29,Düngemittel!$B$6:$E$64,3,FALSE))/100*AY29</f>
        <v>0</v>
      </c>
      <c r="BA29" s="687">
        <f>VLOOKUP(AX29,Düngemittel!$B$6:$E$64,2,FALSE)*AY29</f>
        <v>0</v>
      </c>
      <c r="BB29" s="774">
        <f>VLOOKUP(AX29,Düngemittel!$B$6:$E$64,4,FALSE)*AY29</f>
        <v>0</v>
      </c>
      <c r="BC29" s="956"/>
      <c r="BD29" s="853">
        <f t="shared" si="9"/>
        <v>0</v>
      </c>
      <c r="BE29" s="308">
        <f t="shared" si="10"/>
        <v>0</v>
      </c>
      <c r="BF29" s="853">
        <f t="shared" si="11"/>
        <v>0</v>
      </c>
      <c r="BG29" s="777">
        <f t="shared" si="12"/>
        <v>0</v>
      </c>
      <c r="BH29" s="308">
        <f t="shared" si="13"/>
        <v>0</v>
      </c>
      <c r="BI29" s="785"/>
      <c r="BJ29" s="853">
        <f t="shared" si="14"/>
        <v>0</v>
      </c>
      <c r="BK29" s="853">
        <f t="shared" si="15"/>
        <v>0</v>
      </c>
      <c r="BL29" s="853">
        <f t="shared" si="16"/>
        <v>0</v>
      </c>
      <c r="BM29" s="853">
        <f t="shared" si="17"/>
        <v>0</v>
      </c>
      <c r="BN29" s="853">
        <f t="shared" si="18"/>
        <v>0</v>
      </c>
      <c r="BO29" s="16"/>
      <c r="BP29" s="16"/>
      <c r="BQ29" s="984">
        <f t="shared" si="19"/>
        <v>22</v>
      </c>
      <c r="BR29" s="985">
        <f t="shared" si="20"/>
        <v>0</v>
      </c>
      <c r="BS29" s="919"/>
      <c r="BT29" s="974"/>
      <c r="BU29" s="918"/>
      <c r="BV29" s="918"/>
      <c r="BW29" s="918"/>
      <c r="BX29" s="774">
        <f t="shared" si="21"/>
        <v>0</v>
      </c>
      <c r="BY29" s="919"/>
      <c r="BZ29" s="974"/>
      <c r="CA29" s="918"/>
      <c r="CB29" s="918"/>
      <c r="CC29" s="918"/>
      <c r="CD29" s="774">
        <f t="shared" si="22"/>
        <v>0</v>
      </c>
      <c r="CE29" s="919"/>
      <c r="CF29" s="974"/>
      <c r="CG29" s="918"/>
      <c r="CH29" s="918"/>
      <c r="CI29" s="918"/>
      <c r="CJ29" s="774">
        <f t="shared" si="23"/>
        <v>0</v>
      </c>
      <c r="CK29" s="915"/>
    </row>
    <row r="30" spans="1:94" ht="23.25" customHeight="1" x14ac:dyDescent="0.25">
      <c r="A30" s="342">
        <v>23</v>
      </c>
      <c r="B30" s="1222">
        <v>0</v>
      </c>
      <c r="C30" s="451"/>
      <c r="D30" s="418">
        <f t="shared" si="4"/>
        <v>100</v>
      </c>
      <c r="E30" s="918">
        <v>0</v>
      </c>
      <c r="F30" s="1234">
        <v>0</v>
      </c>
      <c r="G30" s="1065">
        <v>0</v>
      </c>
      <c r="H30" s="1225">
        <v>0</v>
      </c>
      <c r="I30" s="421">
        <f t="shared" si="5"/>
        <v>0</v>
      </c>
      <c r="J30" s="492" t="s">
        <v>90</v>
      </c>
      <c r="K30" s="423">
        <f t="shared" si="0"/>
        <v>0</v>
      </c>
      <c r="L30" s="494" t="s">
        <v>240</v>
      </c>
      <c r="M30" s="425">
        <f t="shared" si="1"/>
        <v>10</v>
      </c>
      <c r="N30" s="1229"/>
      <c r="O30" s="585">
        <f t="shared" si="6"/>
        <v>0</v>
      </c>
      <c r="P30" s="583">
        <f t="shared" si="2"/>
        <v>0</v>
      </c>
      <c r="Q30" s="499">
        <f t="shared" si="7"/>
        <v>0</v>
      </c>
      <c r="R30" s="409">
        <f t="shared" si="8"/>
        <v>0</v>
      </c>
      <c r="S30" s="16"/>
      <c r="T30" s="958">
        <f t="shared" si="30"/>
        <v>23</v>
      </c>
      <c r="U30" s="899"/>
      <c r="V30" s="887" t="s">
        <v>805</v>
      </c>
      <c r="W30" s="978">
        <v>0</v>
      </c>
      <c r="X30" s="687">
        <f>VLOOKUP(V30,Düngemittel!$B$6:$E$64,2,FALSE)*(VLOOKUP(V30,Düngemittel!$B$6:$E$64,3,FALSE))/100*W30</f>
        <v>0</v>
      </c>
      <c r="Y30" s="687">
        <f>VLOOKUP(V30,Düngemittel!$B$6:$E$64,2,FALSE)*W30</f>
        <v>0</v>
      </c>
      <c r="Z30" s="687">
        <f>VLOOKUP(V30,Düngemittel!$B$6:$E$64,4,FALSE)*W30</f>
        <v>0</v>
      </c>
      <c r="AA30" s="666"/>
      <c r="AB30" s="899"/>
      <c r="AC30" s="887" t="s">
        <v>805</v>
      </c>
      <c r="AD30" s="978">
        <v>0</v>
      </c>
      <c r="AE30" s="687">
        <f>VLOOKUP(AC30,Düngemittel!$B$6:$E$64,2,FALSE)*(VLOOKUP(AC30,Düngemittel!$B$6:$E$64,3,FALSE))/100*AD30</f>
        <v>0</v>
      </c>
      <c r="AF30" s="687">
        <f>VLOOKUP(AC30,Düngemittel!$B$6:$E$64,2,FALSE)*AD30</f>
        <v>0</v>
      </c>
      <c r="AG30" s="687">
        <f>VLOOKUP(AC30,Düngemittel!$B$6:$E$64,4,FALSE)*AD30</f>
        <v>0</v>
      </c>
      <c r="AH30" s="666"/>
      <c r="AI30" s="899"/>
      <c r="AJ30" s="887" t="s">
        <v>805</v>
      </c>
      <c r="AK30" s="978">
        <v>0</v>
      </c>
      <c r="AL30" s="687">
        <f>VLOOKUP(AJ30,Düngemittel!$B$6:$E$64,2,FALSE)*(VLOOKUP(AJ30,Düngemittel!$B$6:$E$64,3,FALSE))/100*AK30</f>
        <v>0</v>
      </c>
      <c r="AM30" s="687">
        <f>VLOOKUP(AJ30,Düngemittel!$B$6:$E$64,2,FALSE)*AK30</f>
        <v>0</v>
      </c>
      <c r="AN30" s="687">
        <f>VLOOKUP(AJ30,Düngemittel!$B$6:$E$64,4,FALSE)*AK30</f>
        <v>0</v>
      </c>
      <c r="AO30" s="666"/>
      <c r="AP30" s="899"/>
      <c r="AQ30" s="887" t="s">
        <v>805</v>
      </c>
      <c r="AR30" s="978">
        <v>0</v>
      </c>
      <c r="AS30" s="687">
        <f>VLOOKUP(AQ30,Düngemittel!$B$6:$E$64,2,FALSE)*(VLOOKUP(AQ30,Düngemittel!$B$6:$E$64,3,FALSE))/100*AR30</f>
        <v>0</v>
      </c>
      <c r="AT30" s="687">
        <f>VLOOKUP(AQ30,Düngemittel!$B$6:$E$64,2,FALSE)*AR30</f>
        <v>0</v>
      </c>
      <c r="AU30" s="687">
        <f>VLOOKUP(AQ30,Düngemittel!$B$6:$E$64,4,FALSE)*AR30</f>
        <v>0</v>
      </c>
      <c r="AV30" s="666"/>
      <c r="AW30" s="899"/>
      <c r="AX30" s="887" t="s">
        <v>805</v>
      </c>
      <c r="AY30" s="978">
        <v>0</v>
      </c>
      <c r="AZ30" s="687">
        <f>VLOOKUP(AX30,Düngemittel!$B$6:$E$64,2,FALSE)*(VLOOKUP(AX30,Düngemittel!$B$6:$E$64,3,FALSE))/100*AY30</f>
        <v>0</v>
      </c>
      <c r="BA30" s="687">
        <f>VLOOKUP(AX30,Düngemittel!$B$6:$E$64,2,FALSE)*AY30</f>
        <v>0</v>
      </c>
      <c r="BB30" s="774">
        <f>VLOOKUP(AX30,Düngemittel!$B$6:$E$64,4,FALSE)*AY30</f>
        <v>0</v>
      </c>
      <c r="BC30" s="956"/>
      <c r="BD30" s="853">
        <f t="shared" si="9"/>
        <v>0</v>
      </c>
      <c r="BE30" s="308">
        <f t="shared" si="10"/>
        <v>0</v>
      </c>
      <c r="BF30" s="853">
        <f t="shared" si="11"/>
        <v>0</v>
      </c>
      <c r="BG30" s="777">
        <f t="shared" si="12"/>
        <v>0</v>
      </c>
      <c r="BH30" s="308">
        <f t="shared" si="13"/>
        <v>0</v>
      </c>
      <c r="BI30" s="785"/>
      <c r="BJ30" s="853">
        <f t="shared" si="14"/>
        <v>0</v>
      </c>
      <c r="BK30" s="853">
        <f t="shared" si="15"/>
        <v>0</v>
      </c>
      <c r="BL30" s="853">
        <f t="shared" si="16"/>
        <v>0</v>
      </c>
      <c r="BM30" s="853">
        <f t="shared" si="17"/>
        <v>0</v>
      </c>
      <c r="BN30" s="853">
        <f t="shared" si="18"/>
        <v>0</v>
      </c>
      <c r="BO30" s="16"/>
      <c r="BP30" s="16"/>
      <c r="BQ30" s="984">
        <f t="shared" si="19"/>
        <v>23</v>
      </c>
      <c r="BR30" s="985">
        <f t="shared" si="20"/>
        <v>0</v>
      </c>
      <c r="BS30" s="919"/>
      <c r="BT30" s="974"/>
      <c r="BU30" s="918"/>
      <c r="BV30" s="918"/>
      <c r="BW30" s="918"/>
      <c r="BX30" s="774">
        <f t="shared" si="21"/>
        <v>0</v>
      </c>
      <c r="BY30" s="919"/>
      <c r="BZ30" s="974"/>
      <c r="CA30" s="918"/>
      <c r="CB30" s="918"/>
      <c r="CC30" s="918"/>
      <c r="CD30" s="774">
        <f t="shared" si="22"/>
        <v>0</v>
      </c>
      <c r="CE30" s="919"/>
      <c r="CF30" s="974"/>
      <c r="CG30" s="918"/>
      <c r="CH30" s="918"/>
      <c r="CI30" s="918"/>
      <c r="CJ30" s="774">
        <f t="shared" si="23"/>
        <v>0</v>
      </c>
      <c r="CK30" s="915"/>
    </row>
    <row r="31" spans="1:94" ht="23.25" customHeight="1" thickBot="1" x14ac:dyDescent="0.3">
      <c r="A31" s="381">
        <v>24</v>
      </c>
      <c r="B31" s="1236">
        <v>0</v>
      </c>
      <c r="C31" s="942"/>
      <c r="D31" s="943">
        <f t="shared" ref="D31" si="43">100-E31-F31</f>
        <v>100</v>
      </c>
      <c r="E31" s="921">
        <v>0</v>
      </c>
      <c r="F31" s="1235">
        <v>0</v>
      </c>
      <c r="G31" s="1226">
        <v>0</v>
      </c>
      <c r="H31" s="1227">
        <v>0</v>
      </c>
      <c r="I31" s="944">
        <f t="shared" ref="I31" si="44">((G31*D31/100)+(G31*E31*0.5/100)+G31*F31*0.75/100)*H31/6.25</f>
        <v>0</v>
      </c>
      <c r="J31" s="945" t="s">
        <v>90</v>
      </c>
      <c r="K31" s="946">
        <f t="shared" si="0"/>
        <v>0</v>
      </c>
      <c r="L31" s="947" t="s">
        <v>240</v>
      </c>
      <c r="M31" s="948">
        <f t="shared" si="1"/>
        <v>10</v>
      </c>
      <c r="N31" s="1230"/>
      <c r="O31" s="949">
        <f t="shared" ref="O31" si="45">IF(I31-M31-K31-N31&lt;0,0,I31-M31-K31-N31)</f>
        <v>0</v>
      </c>
      <c r="P31" s="950">
        <f t="shared" ref="P31" si="46">IF(O31&lt;0,0,O31*B31)</f>
        <v>0</v>
      </c>
      <c r="Q31" s="951">
        <f t="shared" ref="Q31" si="47">G31*(D31/100+E31*0.5/100+F31*0.75/100)*(0.25+0.43*H31/6.25-0.06*H31/6.25*H31/6.25)</f>
        <v>0</v>
      </c>
      <c r="R31" s="952">
        <f t="shared" ref="R31" si="48">B31*Q31</f>
        <v>0</v>
      </c>
      <c r="S31" s="16"/>
      <c r="T31" s="959">
        <f t="shared" si="30"/>
        <v>24</v>
      </c>
      <c r="U31" s="960"/>
      <c r="V31" s="961" t="s">
        <v>805</v>
      </c>
      <c r="W31" s="1231">
        <v>0</v>
      </c>
      <c r="X31" s="962">
        <f>VLOOKUP(V31,Düngemittel!$B$6:$E$64,2,FALSE)*(VLOOKUP(V31,Düngemittel!$B$6:$E$64,3,FALSE))/100*W31</f>
        <v>0</v>
      </c>
      <c r="Y31" s="962">
        <f>VLOOKUP(V31,Düngemittel!$B$6:$E$64,2,FALSE)*W31</f>
        <v>0</v>
      </c>
      <c r="Z31" s="962">
        <f>VLOOKUP(V31,Düngemittel!$B$6:$E$64,4,FALSE)*W31</f>
        <v>0</v>
      </c>
      <c r="AA31" s="963"/>
      <c r="AB31" s="960"/>
      <c r="AC31" s="961" t="s">
        <v>805</v>
      </c>
      <c r="AD31" s="1231">
        <v>0</v>
      </c>
      <c r="AE31" s="962">
        <f>VLOOKUP(AC31,Düngemittel!$B$6:$E$64,2,FALSE)*(VLOOKUP(AC31,Düngemittel!$B$6:$E$64,3,FALSE))/100*AD31</f>
        <v>0</v>
      </c>
      <c r="AF31" s="962">
        <f>VLOOKUP(AC31,Düngemittel!$B$6:$E$64,2,FALSE)*AD31</f>
        <v>0</v>
      </c>
      <c r="AG31" s="962">
        <f>VLOOKUP(AC31,Düngemittel!$B$6:$E$64,4,FALSE)*AD31</f>
        <v>0</v>
      </c>
      <c r="AH31" s="963"/>
      <c r="AI31" s="960"/>
      <c r="AJ31" s="961" t="s">
        <v>805</v>
      </c>
      <c r="AK31" s="1231">
        <v>0</v>
      </c>
      <c r="AL31" s="962">
        <f>VLOOKUP(AJ31,Düngemittel!$B$6:$E$64,2,FALSE)*(VLOOKUP(AJ31,Düngemittel!$B$6:$E$64,3,FALSE))/100*AK31</f>
        <v>0</v>
      </c>
      <c r="AM31" s="962">
        <f>VLOOKUP(AJ31,Düngemittel!$B$6:$E$64,2,FALSE)*AK31</f>
        <v>0</v>
      </c>
      <c r="AN31" s="962">
        <f>VLOOKUP(AJ31,Düngemittel!$B$6:$E$64,4,FALSE)*AK31</f>
        <v>0</v>
      </c>
      <c r="AO31" s="963"/>
      <c r="AP31" s="960"/>
      <c r="AQ31" s="961" t="s">
        <v>805</v>
      </c>
      <c r="AR31" s="1231">
        <v>0</v>
      </c>
      <c r="AS31" s="962">
        <f>VLOOKUP(AQ31,Düngemittel!$B$6:$E$64,2,FALSE)*(VLOOKUP(AQ31,Düngemittel!$B$6:$E$64,3,FALSE))/100*AR31</f>
        <v>0</v>
      </c>
      <c r="AT31" s="962">
        <f>VLOOKUP(AQ31,Düngemittel!$B$6:$E$64,2,FALSE)*AR31</f>
        <v>0</v>
      </c>
      <c r="AU31" s="962">
        <f>VLOOKUP(AQ31,Düngemittel!$B$6:$E$64,4,FALSE)*AR31</f>
        <v>0</v>
      </c>
      <c r="AV31" s="963"/>
      <c r="AW31" s="960"/>
      <c r="AX31" s="961" t="s">
        <v>805</v>
      </c>
      <c r="AY31" s="1231">
        <v>0</v>
      </c>
      <c r="AZ31" s="962">
        <f>VLOOKUP(AX31,Düngemittel!$B$6:$E$64,2,FALSE)*(VLOOKUP(AX31,Düngemittel!$B$6:$E$64,3,FALSE))/100*AY31</f>
        <v>0</v>
      </c>
      <c r="BA31" s="962">
        <f>VLOOKUP(AX31,Düngemittel!$B$6:$E$64,2,FALSE)*AY31</f>
        <v>0</v>
      </c>
      <c r="BB31" s="922">
        <f>VLOOKUP(AX31,Düngemittel!$B$6:$E$64,4,FALSE)*AY31</f>
        <v>0</v>
      </c>
      <c r="BC31" s="956"/>
      <c r="BD31" s="853">
        <f t="shared" si="9"/>
        <v>0</v>
      </c>
      <c r="BE31" s="308">
        <f t="shared" si="10"/>
        <v>0</v>
      </c>
      <c r="BF31" s="853">
        <f t="shared" si="11"/>
        <v>0</v>
      </c>
      <c r="BG31" s="777">
        <f t="shared" si="12"/>
        <v>0</v>
      </c>
      <c r="BH31" s="308">
        <f t="shared" si="13"/>
        <v>0</v>
      </c>
      <c r="BI31" s="785"/>
      <c r="BJ31" s="853">
        <f t="shared" si="14"/>
        <v>0</v>
      </c>
      <c r="BK31" s="853">
        <f t="shared" si="15"/>
        <v>0</v>
      </c>
      <c r="BL31" s="853">
        <f t="shared" si="16"/>
        <v>0</v>
      </c>
      <c r="BM31" s="853">
        <f t="shared" si="17"/>
        <v>0</v>
      </c>
      <c r="BN31" s="853">
        <f t="shared" si="18"/>
        <v>0</v>
      </c>
      <c r="BO31" s="16"/>
      <c r="BP31" s="16"/>
      <c r="BQ31" s="984">
        <f t="shared" si="19"/>
        <v>24</v>
      </c>
      <c r="BR31" s="985">
        <f t="shared" si="20"/>
        <v>0</v>
      </c>
      <c r="BS31" s="920"/>
      <c r="BT31" s="975"/>
      <c r="BU31" s="921"/>
      <c r="BV31" s="921"/>
      <c r="BW31" s="921"/>
      <c r="BX31" s="922">
        <f t="shared" si="21"/>
        <v>0</v>
      </c>
      <c r="BY31" s="920"/>
      <c r="BZ31" s="975"/>
      <c r="CA31" s="921"/>
      <c r="CB31" s="921"/>
      <c r="CC31" s="921"/>
      <c r="CD31" s="922">
        <f t="shared" si="22"/>
        <v>0</v>
      </c>
      <c r="CE31" s="920"/>
      <c r="CF31" s="975"/>
      <c r="CG31" s="921"/>
      <c r="CH31" s="921"/>
      <c r="CI31" s="921"/>
      <c r="CJ31" s="922">
        <f t="shared" si="23"/>
        <v>0</v>
      </c>
      <c r="CK31" s="917"/>
    </row>
    <row r="32" spans="1:94" ht="25.5" customHeight="1" thickBot="1" x14ac:dyDescent="0.3">
      <c r="A32" s="384" t="s">
        <v>292</v>
      </c>
      <c r="B32" s="771">
        <f>SUM(B8:B31)</f>
        <v>35</v>
      </c>
      <c r="C32" s="809" t="s">
        <v>1120</v>
      </c>
      <c r="D32" s="810"/>
      <c r="E32" s="811"/>
      <c r="F32" s="811"/>
      <c r="G32" s="812"/>
      <c r="H32" s="813"/>
      <c r="I32" s="813"/>
      <c r="J32" s="813"/>
      <c r="K32" s="813"/>
      <c r="L32" s="813"/>
      <c r="M32" s="375"/>
      <c r="N32" s="375"/>
      <c r="O32" s="814" t="s">
        <v>1036</v>
      </c>
      <c r="P32" s="380">
        <f>SUM(P8:P31)</f>
        <v>5505.4400000000005</v>
      </c>
      <c r="Q32" s="496"/>
      <c r="R32" s="380">
        <f>SUM(R8:R31)</f>
        <v>2533.8671071999997</v>
      </c>
      <c r="S32" s="476"/>
      <c r="T32" s="476"/>
      <c r="U32" s="476"/>
      <c r="V32" s="476"/>
      <c r="W32" s="476"/>
      <c r="X32" s="476"/>
      <c r="Y32" s="476"/>
      <c r="Z32" s="476"/>
      <c r="AA32" s="476"/>
      <c r="AB32" s="476"/>
      <c r="AC32" s="476"/>
      <c r="AD32" s="476"/>
      <c r="AE32" s="476"/>
      <c r="AF32" s="476"/>
      <c r="BD32" s="124"/>
      <c r="BE32" s="60"/>
      <c r="BF32" s="60"/>
      <c r="BG32" s="224"/>
      <c r="BH32" s="60"/>
      <c r="BI32" s="272"/>
      <c r="BJ32" s="308">
        <f>SUM(BJ8:BJ31)</f>
        <v>2184</v>
      </c>
      <c r="BK32" s="308">
        <f>SUM(BK8:BK31)</f>
        <v>5315.9999999999991</v>
      </c>
      <c r="BL32" s="308">
        <f t="shared" ref="BL32:BN32" si="49">SUM(BL8:BL31)</f>
        <v>7404</v>
      </c>
      <c r="BM32" s="308">
        <f t="shared" si="49"/>
        <v>5220</v>
      </c>
      <c r="BN32" s="308">
        <f t="shared" si="49"/>
        <v>2175</v>
      </c>
      <c r="BO32" s="782" t="s">
        <v>1097</v>
      </c>
      <c r="BP32" s="83"/>
      <c r="BQ32" s="83"/>
      <c r="BR32" s="83"/>
      <c r="BS32" s="83"/>
      <c r="BT32" s="83"/>
      <c r="BU32" s="83"/>
      <c r="BV32" s="83"/>
      <c r="BW32" s="83"/>
      <c r="BX32" s="83"/>
      <c r="BY32" s="83"/>
      <c r="BZ32" s="83"/>
      <c r="CA32" s="83"/>
      <c r="CB32" s="83"/>
      <c r="CC32" s="83"/>
      <c r="CD32" s="83"/>
      <c r="CE32" s="83"/>
      <c r="CF32" s="83"/>
      <c r="CG32" s="83"/>
      <c r="CL32" s="125"/>
    </row>
    <row r="33" spans="1:90" ht="16.5" customHeight="1" x14ac:dyDescent="0.25">
      <c r="A33" s="271"/>
      <c r="B33" s="357"/>
      <c r="D33" s="806"/>
      <c r="E33" s="806"/>
      <c r="F33" s="806"/>
      <c r="G33" s="659"/>
      <c r="H33" s="659"/>
      <c r="I33" s="659"/>
      <c r="J33" s="659"/>
      <c r="K33" s="659"/>
      <c r="L33" s="659"/>
      <c r="O33" s="183"/>
      <c r="P33" s="1310" t="s">
        <v>1118</v>
      </c>
      <c r="R33" s="1310" t="s">
        <v>1119</v>
      </c>
      <c r="S33" s="476"/>
      <c r="T33" s="476"/>
      <c r="U33" s="476"/>
      <c r="V33" s="476"/>
      <c r="W33" s="476"/>
      <c r="X33" s="476"/>
      <c r="Y33" s="476"/>
      <c r="Z33" s="476"/>
      <c r="AA33" s="476"/>
      <c r="AB33" s="476"/>
      <c r="AC33" s="476"/>
      <c r="AD33" s="476"/>
      <c r="AE33" s="476"/>
      <c r="AF33" s="476"/>
      <c r="AG33" s="357"/>
      <c r="AH33" s="357"/>
      <c r="AI33" s="357"/>
      <c r="AJ33" s="357"/>
      <c r="AK33" s="357"/>
      <c r="AL33" s="357"/>
      <c r="AM33" s="357"/>
      <c r="AN33" s="357"/>
      <c r="AO33" s="357"/>
      <c r="AP33" s="357"/>
      <c r="AQ33" s="357"/>
      <c r="AR33" s="357"/>
      <c r="AS33" s="357"/>
      <c r="AT33" s="357"/>
      <c r="AU33" s="357"/>
      <c r="AV33" s="357"/>
      <c r="AW33" s="357"/>
      <c r="AX33" s="357"/>
      <c r="AY33" s="357"/>
      <c r="AZ33" s="357"/>
      <c r="BA33" s="357"/>
      <c r="BB33" s="357"/>
      <c r="BD33" s="462">
        <f>BJ33</f>
        <v>62.4</v>
      </c>
      <c r="BE33" s="462">
        <f t="shared" ref="BE33:BH33" si="50">BK33</f>
        <v>151.88571428571427</v>
      </c>
      <c r="BF33" s="462">
        <f t="shared" si="50"/>
        <v>211.54285714285714</v>
      </c>
      <c r="BG33" s="777">
        <f t="shared" si="50"/>
        <v>149.14285714285714</v>
      </c>
      <c r="BH33" s="462">
        <f t="shared" si="50"/>
        <v>62.142857142857146</v>
      </c>
      <c r="BI33" s="272"/>
      <c r="BJ33" s="784">
        <f>BJ32/$B32</f>
        <v>62.4</v>
      </c>
      <c r="BK33" s="308">
        <f>BK32/$B32</f>
        <v>151.88571428571427</v>
      </c>
      <c r="BL33" s="784">
        <f>BL32/$B32</f>
        <v>211.54285714285714</v>
      </c>
      <c r="BM33" s="777">
        <f>BM32/$B32</f>
        <v>149.14285714285714</v>
      </c>
      <c r="BN33" s="308">
        <f>BN32/$B32</f>
        <v>62.142857142857146</v>
      </c>
      <c r="BO33" s="782" t="s">
        <v>1076</v>
      </c>
      <c r="BP33" s="83"/>
      <c r="BQ33" s="83"/>
      <c r="BR33" s="83"/>
      <c r="BS33" s="83"/>
      <c r="BT33" s="83"/>
      <c r="BU33" s="83"/>
      <c r="BV33" s="83"/>
      <c r="BW33" s="83"/>
      <c r="BX33" s="83"/>
      <c r="BY33" s="83"/>
      <c r="BZ33" s="83"/>
      <c r="CA33" s="83"/>
      <c r="CB33" s="83"/>
      <c r="CC33" s="83"/>
      <c r="CD33" s="83"/>
      <c r="CE33" s="83"/>
      <c r="CF33" s="83"/>
      <c r="CG33" s="83"/>
      <c r="CH33" s="357"/>
      <c r="CI33" s="17"/>
      <c r="CL33" s="130"/>
    </row>
    <row r="34" spans="1:90" ht="60" customHeight="1" thickBot="1" x14ac:dyDescent="0.3">
      <c r="A34" s="519"/>
      <c r="D34" s="806"/>
      <c r="E34" s="806"/>
      <c r="F34" s="806"/>
      <c r="G34" s="659"/>
      <c r="H34" s="659"/>
      <c r="I34" s="659"/>
      <c r="J34" s="659"/>
      <c r="K34" s="659"/>
      <c r="L34" s="659"/>
      <c r="O34" s="272"/>
      <c r="P34" s="1311"/>
      <c r="R34" s="1311"/>
      <c r="S34" s="726"/>
      <c r="T34" s="726"/>
      <c r="U34" s="726"/>
      <c r="V34" s="726"/>
      <c r="W34" s="726"/>
      <c r="X34" s="726"/>
      <c r="Y34" s="726"/>
      <c r="Z34" s="726"/>
      <c r="AA34" s="726"/>
      <c r="AB34" s="726"/>
      <c r="AC34" s="726"/>
      <c r="AD34" s="726"/>
      <c r="AE34" s="726"/>
      <c r="AF34" s="726"/>
      <c r="AG34" s="357"/>
      <c r="AH34" s="357"/>
      <c r="AI34" s="357"/>
      <c r="AJ34" s="357"/>
      <c r="AK34" s="357"/>
      <c r="AL34" s="357"/>
      <c r="AM34" s="357"/>
      <c r="AN34" s="357"/>
      <c r="AO34" s="357"/>
      <c r="AP34" s="357"/>
      <c r="AQ34" s="357"/>
      <c r="AR34" s="357"/>
      <c r="AS34" s="357"/>
      <c r="AT34" s="357"/>
      <c r="AU34" s="357"/>
      <c r="AV34" s="357"/>
      <c r="AW34" s="357"/>
      <c r="AX34" s="357"/>
      <c r="AY34" s="357"/>
      <c r="AZ34" s="357"/>
      <c r="BA34" s="357"/>
      <c r="BB34" s="357"/>
      <c r="BC34" s="357"/>
      <c r="BD34" s="775" t="s">
        <v>1096</v>
      </c>
      <c r="BE34" s="312" t="s">
        <v>1082</v>
      </c>
      <c r="BF34" s="312" t="s">
        <v>1083</v>
      </c>
      <c r="BG34" s="699" t="s">
        <v>1268</v>
      </c>
      <c r="BH34" s="312" t="s">
        <v>290</v>
      </c>
      <c r="BI34" s="519"/>
      <c r="BJ34" s="780" t="s">
        <v>1096</v>
      </c>
      <c r="BK34" s="312" t="s">
        <v>1082</v>
      </c>
      <c r="BL34" s="781" t="s">
        <v>1098</v>
      </c>
      <c r="BM34" s="699" t="s">
        <v>1268</v>
      </c>
      <c r="BN34" s="312" t="s">
        <v>290</v>
      </c>
      <c r="BO34" s="357"/>
      <c r="BP34" s="357"/>
      <c r="BQ34" s="357"/>
      <c r="BR34" s="357"/>
      <c r="BS34" s="357"/>
      <c r="BT34" s="357"/>
      <c r="BU34" s="357"/>
      <c r="BV34" s="357"/>
      <c r="BW34" s="357"/>
      <c r="BX34" s="357"/>
      <c r="BY34" s="357"/>
      <c r="BZ34" s="357"/>
      <c r="CA34" s="357"/>
      <c r="CB34" s="357"/>
      <c r="CC34" s="357"/>
      <c r="CD34" s="357"/>
      <c r="CE34" s="357"/>
      <c r="CF34" s="357"/>
      <c r="CG34" s="357"/>
      <c r="CH34" s="357"/>
      <c r="CI34" s="356"/>
      <c r="CJ34" s="400"/>
      <c r="CL34" s="130"/>
    </row>
    <row r="35" spans="1:90" ht="16.5" customHeight="1" x14ac:dyDescent="0.25">
      <c r="B35" s="112"/>
      <c r="D35" s="80"/>
      <c r="E35" s="112"/>
      <c r="J35" s="151"/>
      <c r="CL35" s="125"/>
    </row>
    <row r="36" spans="1:90" ht="35.25" customHeight="1" x14ac:dyDescent="0.25">
      <c r="A36" s="1384" t="s">
        <v>1084</v>
      </c>
      <c r="B36" s="1385"/>
      <c r="C36" s="1387" t="s">
        <v>1088</v>
      </c>
      <c r="D36" s="1388"/>
      <c r="E36" s="1388"/>
      <c r="F36" s="1388"/>
      <c r="G36" s="1388"/>
      <c r="H36" s="1388"/>
      <c r="I36" s="1388"/>
      <c r="J36" s="1388"/>
      <c r="K36" s="1388"/>
      <c r="L36" s="1388"/>
      <c r="M36" s="1379"/>
      <c r="N36" s="1379"/>
      <c r="O36" s="1379"/>
      <c r="P36" s="1379"/>
      <c r="Q36" s="1331"/>
      <c r="R36" s="1332"/>
      <c r="S36" s="124"/>
      <c r="T36" s="124"/>
      <c r="U36" s="124"/>
      <c r="V36" s="124"/>
      <c r="W36" s="124"/>
      <c r="X36" s="124"/>
      <c r="Y36" s="124"/>
      <c r="Z36" s="124"/>
      <c r="AA36" s="124"/>
      <c r="AB36" s="124"/>
      <c r="AC36" s="124"/>
      <c r="AD36" s="124"/>
      <c r="AE36" s="124"/>
      <c r="AF36" s="124"/>
      <c r="CL36" s="125"/>
    </row>
    <row r="37" spans="1:90" ht="28.5" customHeight="1" x14ac:dyDescent="0.25">
      <c r="A37" s="1385"/>
      <c r="B37" s="1385"/>
      <c r="C37" s="1389"/>
      <c r="D37" s="1390"/>
      <c r="E37" s="1390"/>
      <c r="F37" s="1390"/>
      <c r="G37" s="1390"/>
      <c r="H37" s="1390"/>
      <c r="I37" s="1390"/>
      <c r="J37" s="1390"/>
      <c r="K37" s="1390"/>
      <c r="L37" s="1390"/>
      <c r="M37" s="1293"/>
      <c r="N37" s="1293"/>
      <c r="O37" s="1293"/>
      <c r="P37" s="1293"/>
      <c r="Q37" s="1336"/>
      <c r="R37" s="1337"/>
      <c r="S37" s="124"/>
      <c r="T37" s="124"/>
      <c r="U37" s="124"/>
      <c r="V37" s="124"/>
      <c r="W37" s="124"/>
      <c r="X37" s="124"/>
      <c r="Y37" s="124"/>
      <c r="Z37" s="124"/>
      <c r="AA37" s="124"/>
      <c r="AB37" s="124"/>
      <c r="AC37" s="124"/>
      <c r="AD37" s="124"/>
      <c r="AE37" s="124"/>
      <c r="AF37" s="124"/>
      <c r="CL37" s="125"/>
    </row>
    <row r="38" spans="1:90" ht="24.75" customHeight="1" x14ac:dyDescent="0.25">
      <c r="A38" s="1386"/>
      <c r="B38" s="1386"/>
      <c r="C38" s="1391"/>
      <c r="D38" s="1341"/>
      <c r="E38" s="1341"/>
      <c r="F38" s="1341"/>
      <c r="G38" s="1341"/>
      <c r="H38" s="1341"/>
      <c r="I38" s="1341"/>
      <c r="J38" s="1341"/>
      <c r="K38" s="1341"/>
      <c r="L38" s="1341"/>
      <c r="M38" s="1341"/>
      <c r="N38" s="1341"/>
      <c r="O38" s="1341"/>
      <c r="P38" s="1341"/>
      <c r="Q38" s="1341"/>
      <c r="R38" s="1342"/>
      <c r="S38" s="124"/>
      <c r="T38" s="124"/>
      <c r="U38" s="124"/>
      <c r="V38" s="124"/>
      <c r="W38" s="124"/>
      <c r="X38" s="124"/>
      <c r="Y38" s="124"/>
      <c r="Z38" s="124"/>
      <c r="AA38" s="124"/>
      <c r="AB38" s="124"/>
      <c r="AC38" s="124"/>
      <c r="AD38" s="124"/>
      <c r="AE38" s="124"/>
      <c r="AF38" s="124"/>
      <c r="CL38" s="125"/>
    </row>
    <row r="39" spans="1:90" ht="24.75" customHeight="1" x14ac:dyDescent="0.25">
      <c r="B39" s="112"/>
      <c r="D39" s="80"/>
      <c r="E39" s="112"/>
      <c r="J39" s="151"/>
      <c r="S39" s="124"/>
      <c r="T39" s="124"/>
      <c r="U39" s="124"/>
      <c r="V39" s="124"/>
      <c r="W39" s="124"/>
      <c r="X39" s="124"/>
      <c r="Y39" s="124"/>
      <c r="Z39" s="124"/>
      <c r="AA39" s="124"/>
      <c r="AB39" s="124"/>
      <c r="AC39" s="124"/>
      <c r="AD39" s="124"/>
      <c r="AE39" s="124"/>
      <c r="AF39" s="124"/>
    </row>
    <row r="40" spans="1:90" ht="15" customHeight="1" x14ac:dyDescent="0.25">
      <c r="A40" s="1320" t="s">
        <v>617</v>
      </c>
      <c r="B40" s="1321"/>
      <c r="C40" s="1347" t="s">
        <v>1089</v>
      </c>
      <c r="D40" s="1281"/>
      <c r="E40" s="1281"/>
      <c r="F40" s="1281"/>
      <c r="G40" s="1281"/>
      <c r="H40" s="1281"/>
      <c r="I40" s="1281"/>
      <c r="J40" s="1281"/>
      <c r="K40" s="1281"/>
      <c r="L40" s="1281"/>
      <c r="M40" s="1281"/>
      <c r="N40" s="1281"/>
      <c r="O40" s="1281"/>
      <c r="P40" s="1281"/>
      <c r="Q40" s="1348"/>
      <c r="R40" s="1348"/>
    </row>
    <row r="41" spans="1:90" ht="15" customHeight="1" x14ac:dyDescent="0.25">
      <c r="A41" s="1322"/>
      <c r="B41" s="1323"/>
      <c r="C41" s="1281"/>
      <c r="D41" s="1281"/>
      <c r="E41" s="1281"/>
      <c r="F41" s="1281"/>
      <c r="G41" s="1281"/>
      <c r="H41" s="1281"/>
      <c r="I41" s="1281"/>
      <c r="J41" s="1281"/>
      <c r="K41" s="1281"/>
      <c r="L41" s="1281"/>
      <c r="M41" s="1281"/>
      <c r="N41" s="1281"/>
      <c r="O41" s="1281"/>
      <c r="P41" s="1281"/>
      <c r="Q41" s="1348"/>
      <c r="R41" s="1348"/>
    </row>
    <row r="42" spans="1:90" ht="15" customHeight="1" x14ac:dyDescent="0.25">
      <c r="A42" s="1343"/>
      <c r="B42" s="1344"/>
      <c r="C42" s="1281"/>
      <c r="D42" s="1281"/>
      <c r="E42" s="1281"/>
      <c r="F42" s="1281"/>
      <c r="G42" s="1281"/>
      <c r="H42" s="1281"/>
      <c r="I42" s="1281"/>
      <c r="J42" s="1281"/>
      <c r="K42" s="1281"/>
      <c r="L42" s="1281"/>
      <c r="M42" s="1281"/>
      <c r="N42" s="1281"/>
      <c r="O42" s="1281"/>
      <c r="P42" s="1281"/>
      <c r="Q42" s="1348"/>
      <c r="R42" s="1348"/>
    </row>
    <row r="43" spans="1:90" ht="24" customHeight="1" x14ac:dyDescent="0.25">
      <c r="A43" s="1345"/>
      <c r="B43" s="1346"/>
      <c r="C43" s="1347" t="s">
        <v>594</v>
      </c>
      <c r="D43" s="1281"/>
      <c r="E43" s="1281"/>
      <c r="F43" s="1281"/>
      <c r="G43" s="1281"/>
      <c r="H43" s="1281"/>
      <c r="I43" s="1281"/>
      <c r="J43" s="1281"/>
      <c r="K43" s="1281"/>
      <c r="L43" s="1281"/>
      <c r="M43" s="1281"/>
      <c r="N43" s="1281"/>
      <c r="O43" s="1348"/>
      <c r="P43" s="1348"/>
      <c r="Q43" s="1348"/>
      <c r="R43" s="1348"/>
    </row>
    <row r="44" spans="1:90" x14ac:dyDescent="0.25">
      <c r="AG44" s="400"/>
      <c r="AH44" s="400"/>
      <c r="AI44" s="400"/>
      <c r="AJ44" s="400"/>
      <c r="AK44" s="400"/>
      <c r="AL44" s="400"/>
      <c r="AM44" s="400"/>
      <c r="AN44" s="400"/>
      <c r="AO44" s="400"/>
      <c r="AP44" s="400"/>
      <c r="AQ44" s="400"/>
      <c r="AR44" s="400"/>
      <c r="AS44" s="400"/>
      <c r="AT44" s="400"/>
      <c r="AU44" s="400"/>
      <c r="AV44" s="400"/>
      <c r="AW44" s="400"/>
      <c r="AX44" s="400"/>
      <c r="AY44" s="400"/>
      <c r="AZ44" s="400"/>
      <c r="BA44" s="400"/>
      <c r="BB44" s="400"/>
      <c r="BC44" s="400"/>
      <c r="BD44" s="400"/>
      <c r="BE44" s="400"/>
      <c r="BF44" s="400"/>
      <c r="BG44" s="400"/>
      <c r="BH44" s="400"/>
      <c r="BI44" s="400"/>
      <c r="BJ44" s="400"/>
      <c r="BK44" s="400"/>
      <c r="BL44" s="400"/>
      <c r="BM44" s="400"/>
      <c r="BN44" s="400"/>
      <c r="BO44" s="400"/>
      <c r="BP44" s="400"/>
      <c r="BQ44" s="400"/>
      <c r="BR44" s="400"/>
      <c r="BS44" s="400"/>
      <c r="BT44" s="400"/>
      <c r="BU44" s="400"/>
      <c r="BV44" s="400"/>
      <c r="BW44" s="400"/>
      <c r="BX44" s="400"/>
      <c r="BY44" s="400"/>
      <c r="BZ44" s="400"/>
      <c r="CA44" s="400"/>
      <c r="CB44" s="400"/>
      <c r="CC44" s="400"/>
      <c r="CD44" s="400"/>
      <c r="CE44" s="400"/>
      <c r="CF44" s="400"/>
      <c r="CG44" s="400"/>
      <c r="CH44" s="400"/>
    </row>
    <row r="45" spans="1:90" ht="9.75" customHeight="1" x14ac:dyDescent="0.25"/>
    <row r="46" spans="1:90" ht="18.75" x14ac:dyDescent="0.25">
      <c r="U46" s="147"/>
      <c r="V46" s="147"/>
    </row>
    <row r="47" spans="1:90" x14ac:dyDescent="0.25">
      <c r="Q47" s="122"/>
      <c r="U47" s="1293"/>
      <c r="V47" s="1293"/>
      <c r="W47" s="1293"/>
      <c r="X47" s="1293"/>
      <c r="Y47" s="1293"/>
      <c r="Z47" s="1293"/>
      <c r="AA47" s="1293"/>
      <c r="AB47" s="1293"/>
      <c r="AC47" s="1293"/>
      <c r="AD47" s="1293"/>
      <c r="AE47" s="1293"/>
      <c r="AF47" s="1293"/>
      <c r="AG47" s="1293"/>
      <c r="AH47" s="1293"/>
      <c r="AI47" s="1293"/>
      <c r="AJ47" s="1293"/>
      <c r="AK47" s="1293"/>
      <c r="AL47" s="1293"/>
      <c r="AM47" s="1293"/>
      <c r="AN47" s="1293"/>
      <c r="AO47" s="1293"/>
      <c r="AP47" s="1293"/>
      <c r="AQ47" s="1293"/>
      <c r="AR47" s="1293"/>
      <c r="AS47" s="1293"/>
      <c r="AT47" s="1293"/>
      <c r="AU47" s="1293"/>
      <c r="AV47" s="1293"/>
      <c r="AW47" s="1293"/>
      <c r="AX47" s="1293"/>
      <c r="AY47" s="1293"/>
      <c r="AZ47" s="1293"/>
      <c r="BA47" s="1293"/>
      <c r="BB47" s="1293"/>
      <c r="BC47" s="1293"/>
      <c r="BD47" s="1293"/>
      <c r="BE47" s="1293"/>
      <c r="BF47" s="1293"/>
      <c r="BG47" s="1293"/>
      <c r="BH47" s="1293"/>
      <c r="BI47" s="1293"/>
      <c r="BJ47" s="1293"/>
      <c r="BK47" s="1293"/>
      <c r="BL47" s="1293"/>
      <c r="BM47" s="1293"/>
      <c r="BN47" s="1293"/>
      <c r="BO47" s="1293"/>
      <c r="BP47" s="1293"/>
      <c r="BQ47" s="1293"/>
      <c r="BR47" s="1293"/>
      <c r="BS47" s="1293"/>
      <c r="BT47" s="1293"/>
      <c r="BU47" s="1293"/>
      <c r="BV47" s="1293"/>
      <c r="BW47" s="1293"/>
      <c r="BX47" s="1293"/>
      <c r="BY47" s="1293"/>
      <c r="BZ47" s="1293"/>
      <c r="CA47" s="1293"/>
      <c r="CB47" s="1293"/>
      <c r="CC47" s="1293"/>
      <c r="CD47" s="1293"/>
      <c r="CE47" s="1293"/>
      <c r="CF47" s="1293"/>
      <c r="CG47" s="1293"/>
      <c r="CH47" s="1293"/>
      <c r="CI47" s="1293"/>
    </row>
    <row r="48" spans="1:90" x14ac:dyDescent="0.25">
      <c r="Q48" s="122"/>
      <c r="U48" s="1293"/>
      <c r="V48" s="1293"/>
      <c r="W48" s="1293"/>
      <c r="X48" s="1293"/>
      <c r="Y48" s="1293"/>
      <c r="Z48" s="1293"/>
      <c r="AA48" s="1293"/>
      <c r="AB48" s="1293"/>
      <c r="AC48" s="1293"/>
      <c r="AD48" s="1293"/>
      <c r="AE48" s="1293"/>
      <c r="AF48" s="1293"/>
      <c r="AG48" s="1293"/>
      <c r="AH48" s="1293"/>
      <c r="AI48" s="1293"/>
      <c r="AJ48" s="1293"/>
      <c r="AK48" s="1293"/>
      <c r="AL48" s="1293"/>
      <c r="AM48" s="1293"/>
      <c r="AN48" s="1293"/>
      <c r="AO48" s="1293"/>
      <c r="AP48" s="1293"/>
      <c r="AQ48" s="1293"/>
      <c r="AR48" s="1293"/>
      <c r="AS48" s="1293"/>
      <c r="AT48" s="1293"/>
      <c r="AU48" s="1293"/>
      <c r="AV48" s="1293"/>
      <c r="AW48" s="1293"/>
      <c r="AX48" s="1293"/>
      <c r="AY48" s="1293"/>
      <c r="AZ48" s="1293"/>
      <c r="BA48" s="1293"/>
      <c r="BB48" s="1293"/>
      <c r="BC48" s="1293"/>
      <c r="BD48" s="1293"/>
      <c r="BE48" s="1293"/>
      <c r="BF48" s="1293"/>
      <c r="BG48" s="1293"/>
      <c r="BH48" s="1293"/>
      <c r="BI48" s="1293"/>
      <c r="BJ48" s="1293"/>
      <c r="BK48" s="1293"/>
      <c r="BL48" s="1293"/>
      <c r="BM48" s="1293"/>
      <c r="BN48" s="1293"/>
      <c r="BO48" s="1293"/>
      <c r="BP48" s="1293"/>
      <c r="BQ48" s="1293"/>
      <c r="BR48" s="1293"/>
      <c r="BS48" s="1293"/>
      <c r="BT48" s="1293"/>
      <c r="BU48" s="1293"/>
      <c r="BV48" s="1293"/>
      <c r="BW48" s="1293"/>
      <c r="BX48" s="1293"/>
      <c r="BY48" s="1293"/>
      <c r="BZ48" s="1293"/>
      <c r="CA48" s="1293"/>
      <c r="CB48" s="1293"/>
      <c r="CC48" s="1293"/>
      <c r="CD48" s="1293"/>
      <c r="CE48" s="1293"/>
      <c r="CF48" s="1293"/>
      <c r="CG48" s="1293"/>
      <c r="CH48" s="1293"/>
      <c r="CI48" s="1293"/>
    </row>
    <row r="50" spans="21:86" ht="15.75" x14ac:dyDescent="0.25">
      <c r="U50" s="665"/>
      <c r="V50" s="665"/>
      <c r="W50" s="124"/>
      <c r="X50" s="1382"/>
      <c r="Y50" s="1336"/>
      <c r="Z50" s="240"/>
      <c r="AA50" s="240"/>
      <c r="AB50" s="240"/>
      <c r="AC50" s="240"/>
      <c r="AD50" s="240"/>
      <c r="AE50" s="240"/>
      <c r="AF50" s="240"/>
      <c r="AG50" s="240"/>
      <c r="AH50" s="240"/>
      <c r="AI50" s="240"/>
      <c r="AJ50" s="240"/>
      <c r="AK50" s="240"/>
      <c r="AL50" s="240"/>
      <c r="AM50" s="240"/>
      <c r="AN50" s="240"/>
      <c r="AO50" s="240"/>
      <c r="AP50" s="240"/>
      <c r="AQ50" s="240"/>
      <c r="AR50" s="240"/>
      <c r="AS50" s="240"/>
      <c r="AT50" s="240"/>
      <c r="AU50" s="240"/>
      <c r="AV50" s="240"/>
      <c r="AW50" s="240"/>
      <c r="AX50" s="240"/>
      <c r="AY50" s="240"/>
      <c r="AZ50" s="240"/>
      <c r="BA50" s="240"/>
      <c r="BB50" s="240"/>
      <c r="BC50" s="240"/>
      <c r="BD50" s="240"/>
      <c r="BE50" s="240"/>
      <c r="BF50" s="240"/>
      <c r="BG50" s="240"/>
      <c r="BH50" s="240"/>
      <c r="BI50" s="240"/>
      <c r="BJ50" s="240"/>
      <c r="BK50" s="240"/>
      <c r="BL50" s="240"/>
      <c r="BM50" s="240"/>
      <c r="BN50" s="240"/>
      <c r="BO50" s="240"/>
      <c r="BP50" s="240"/>
      <c r="BQ50" s="240"/>
      <c r="BR50" s="240"/>
      <c r="BS50" s="240"/>
      <c r="BT50" s="240"/>
      <c r="BU50" s="240"/>
      <c r="BV50" s="240"/>
      <c r="BW50" s="240"/>
      <c r="BX50" s="240"/>
      <c r="BY50" s="240"/>
      <c r="BZ50" s="240"/>
      <c r="CA50" s="240"/>
      <c r="CB50" s="240"/>
      <c r="CC50" s="240"/>
      <c r="CD50" s="240"/>
      <c r="CE50" s="240"/>
      <c r="CF50" s="240"/>
      <c r="CG50" s="240"/>
      <c r="CH50" s="240"/>
    </row>
    <row r="51" spans="21:86" ht="15.75" x14ac:dyDescent="0.25">
      <c r="U51" s="665"/>
      <c r="V51" s="665"/>
      <c r="W51" s="124"/>
      <c r="X51" s="519"/>
      <c r="Y51" s="519"/>
      <c r="Z51" s="701"/>
      <c r="AA51" s="701"/>
      <c r="AB51" s="701"/>
      <c r="AC51" s="701"/>
      <c r="AD51" s="701"/>
      <c r="AE51" s="701"/>
      <c r="AF51" s="701"/>
      <c r="AG51" s="701"/>
      <c r="AH51" s="701"/>
      <c r="AI51" s="701"/>
      <c r="AJ51" s="701"/>
      <c r="AK51" s="701"/>
      <c r="AL51" s="701"/>
      <c r="AM51" s="701"/>
      <c r="AN51" s="701"/>
      <c r="AO51" s="701"/>
      <c r="AP51" s="701"/>
      <c r="AQ51" s="701"/>
      <c r="AR51" s="701"/>
      <c r="AS51" s="701"/>
      <c r="AT51" s="701"/>
      <c r="AU51" s="701"/>
      <c r="AV51" s="701"/>
      <c r="AW51" s="701"/>
      <c r="AX51" s="701"/>
      <c r="AY51" s="701"/>
      <c r="AZ51" s="701"/>
      <c r="BA51" s="701"/>
      <c r="BB51" s="701"/>
      <c r="BC51" s="701"/>
      <c r="BD51" s="701"/>
      <c r="BE51" s="701"/>
      <c r="BF51" s="701"/>
      <c r="BG51" s="701"/>
      <c r="BH51" s="701"/>
      <c r="BI51" s="701"/>
      <c r="BJ51" s="701"/>
      <c r="BK51" s="701"/>
      <c r="BL51" s="701"/>
      <c r="BM51" s="701"/>
      <c r="BN51" s="701"/>
      <c r="BO51" s="701"/>
      <c r="BP51" s="701"/>
      <c r="BQ51" s="701"/>
      <c r="BR51" s="701"/>
      <c r="BS51" s="701"/>
      <c r="BT51" s="701"/>
      <c r="BU51" s="701"/>
      <c r="BV51" s="701"/>
      <c r="BW51" s="701"/>
      <c r="BX51" s="701"/>
      <c r="BY51" s="701"/>
      <c r="BZ51" s="701"/>
      <c r="CA51" s="701"/>
      <c r="CB51" s="701"/>
      <c r="CC51" s="701"/>
      <c r="CD51" s="701"/>
      <c r="CE51" s="701"/>
      <c r="CF51" s="701"/>
      <c r="CG51" s="701"/>
      <c r="CH51" s="701"/>
    </row>
    <row r="52" spans="21:86" ht="15.75" x14ac:dyDescent="0.25">
      <c r="U52" s="166"/>
      <c r="V52" s="166"/>
      <c r="W52" s="124"/>
      <c r="X52" s="123"/>
      <c r="Y52" s="123"/>
      <c r="Z52" s="129"/>
      <c r="AA52" s="129"/>
      <c r="AB52" s="129"/>
      <c r="AC52" s="129"/>
      <c r="AD52" s="129"/>
      <c r="AE52" s="129"/>
      <c r="AF52" s="129"/>
      <c r="AG52" s="129"/>
      <c r="AH52" s="129"/>
      <c r="AI52" s="129"/>
      <c r="AJ52" s="129"/>
      <c r="AK52" s="129"/>
      <c r="AL52" s="129"/>
      <c r="AM52" s="129"/>
      <c r="AN52" s="129"/>
      <c r="AO52" s="129"/>
      <c r="AP52" s="129"/>
      <c r="AQ52" s="129"/>
      <c r="AR52" s="129"/>
      <c r="AS52" s="129"/>
      <c r="AT52" s="129"/>
      <c r="AU52" s="129"/>
      <c r="AV52" s="129"/>
      <c r="AW52" s="129"/>
      <c r="AX52" s="129"/>
      <c r="AY52" s="129"/>
      <c r="AZ52" s="129"/>
      <c r="BA52" s="129"/>
      <c r="BB52" s="129"/>
      <c r="BC52" s="129"/>
      <c r="BD52" s="129"/>
      <c r="BE52" s="129"/>
      <c r="BF52" s="129"/>
      <c r="BG52" s="129"/>
      <c r="BH52" s="129"/>
      <c r="BI52" s="129"/>
      <c r="BJ52" s="129"/>
      <c r="BK52" s="129"/>
      <c r="BL52" s="129"/>
      <c r="BM52" s="129"/>
      <c r="BN52" s="129"/>
      <c r="BO52" s="129"/>
      <c r="BP52" s="129"/>
      <c r="BQ52" s="129"/>
      <c r="BR52" s="129"/>
      <c r="BS52" s="129"/>
      <c r="BT52" s="129"/>
      <c r="BU52" s="129"/>
      <c r="BV52" s="129"/>
      <c r="BW52" s="129"/>
      <c r="BX52" s="129"/>
      <c r="BY52" s="129"/>
      <c r="BZ52" s="129"/>
      <c r="CA52" s="129"/>
      <c r="CB52" s="129"/>
      <c r="CC52" s="129"/>
      <c r="CD52" s="129"/>
      <c r="CE52" s="129"/>
      <c r="CF52" s="129"/>
      <c r="CG52" s="129"/>
      <c r="CH52" s="129"/>
    </row>
    <row r="53" spans="21:86" ht="15.75" x14ac:dyDescent="0.25">
      <c r="U53" s="166"/>
      <c r="V53" s="166"/>
      <c r="W53" s="124"/>
      <c r="X53" s="123"/>
      <c r="Y53" s="123"/>
      <c r="Z53" s="129"/>
      <c r="AA53" s="129"/>
      <c r="AB53" s="129"/>
      <c r="AC53" s="129"/>
      <c r="AD53" s="129"/>
      <c r="AE53" s="129"/>
      <c r="AF53" s="129"/>
      <c r="AG53" s="129"/>
      <c r="AH53" s="129"/>
      <c r="AI53" s="129"/>
      <c r="AJ53" s="129"/>
      <c r="AK53" s="129"/>
      <c r="AL53" s="129"/>
      <c r="AM53" s="129"/>
      <c r="AN53" s="129"/>
      <c r="AO53" s="129"/>
      <c r="AP53" s="129"/>
      <c r="AQ53" s="129"/>
      <c r="AR53" s="129"/>
      <c r="AS53" s="129"/>
      <c r="AT53" s="129"/>
      <c r="AU53" s="129"/>
      <c r="AV53" s="129"/>
      <c r="AW53" s="129"/>
      <c r="AX53" s="129"/>
      <c r="AY53" s="129"/>
      <c r="AZ53" s="129"/>
      <c r="BA53" s="129"/>
      <c r="BB53" s="129"/>
      <c r="BC53" s="129"/>
      <c r="BD53" s="129"/>
      <c r="BE53" s="129"/>
      <c r="BF53" s="129"/>
      <c r="BG53" s="129"/>
      <c r="BH53" s="129"/>
      <c r="BI53" s="129"/>
      <c r="BJ53" s="129"/>
      <c r="BK53" s="129"/>
      <c r="BL53" s="129"/>
      <c r="BM53" s="129"/>
      <c r="BN53" s="129"/>
      <c r="BO53" s="129"/>
      <c r="BP53" s="129"/>
      <c r="BQ53" s="129"/>
      <c r="BR53" s="129"/>
      <c r="BS53" s="129"/>
      <c r="BT53" s="129"/>
      <c r="BU53" s="129"/>
      <c r="BV53" s="129"/>
      <c r="BW53" s="129"/>
      <c r="BX53" s="129"/>
      <c r="BY53" s="129"/>
      <c r="BZ53" s="129"/>
      <c r="CA53" s="129"/>
      <c r="CB53" s="129"/>
      <c r="CC53" s="129"/>
      <c r="CD53" s="129"/>
      <c r="CE53" s="129"/>
      <c r="CF53" s="129"/>
      <c r="CG53" s="129"/>
      <c r="CH53" s="129"/>
    </row>
    <row r="54" spans="21:86" ht="15.75" x14ac:dyDescent="0.25">
      <c r="U54" s="166"/>
      <c r="V54" s="166"/>
      <c r="W54" s="124"/>
      <c r="X54" s="123"/>
      <c r="Y54" s="123"/>
      <c r="Z54" s="129"/>
      <c r="AA54" s="129"/>
      <c r="AB54" s="129"/>
      <c r="AC54" s="129"/>
      <c r="AD54" s="129"/>
      <c r="AE54" s="129"/>
      <c r="AF54" s="129"/>
      <c r="AG54" s="129"/>
      <c r="AH54" s="129"/>
      <c r="AI54" s="129"/>
      <c r="AJ54" s="129"/>
      <c r="AK54" s="129"/>
      <c r="AL54" s="129"/>
      <c r="AM54" s="129"/>
      <c r="AN54" s="129"/>
      <c r="AO54" s="129"/>
      <c r="AP54" s="129"/>
      <c r="AQ54" s="129"/>
      <c r="AR54" s="129"/>
      <c r="AS54" s="129"/>
      <c r="AT54" s="129"/>
      <c r="AU54" s="129"/>
      <c r="AV54" s="129"/>
      <c r="AW54" s="129"/>
      <c r="AX54" s="129"/>
      <c r="AY54" s="129"/>
      <c r="AZ54" s="129"/>
      <c r="BA54" s="129"/>
      <c r="BB54" s="129"/>
      <c r="BC54" s="129"/>
      <c r="BD54" s="129"/>
      <c r="BE54" s="129"/>
      <c r="BF54" s="129"/>
      <c r="BG54" s="129"/>
      <c r="BH54" s="129"/>
      <c r="BI54" s="129"/>
      <c r="BJ54" s="129"/>
      <c r="BK54" s="129"/>
      <c r="BL54" s="129"/>
      <c r="BM54" s="129"/>
      <c r="BN54" s="129"/>
      <c r="BO54" s="129"/>
      <c r="BP54" s="129"/>
      <c r="BQ54" s="129"/>
      <c r="BR54" s="129"/>
      <c r="BS54" s="129"/>
      <c r="BT54" s="129"/>
      <c r="BU54" s="129"/>
      <c r="BV54" s="129"/>
      <c r="BW54" s="129"/>
      <c r="BX54" s="129"/>
      <c r="BY54" s="129"/>
      <c r="BZ54" s="129"/>
      <c r="CA54" s="129"/>
      <c r="CB54" s="129"/>
      <c r="CC54" s="129"/>
      <c r="CD54" s="129"/>
      <c r="CE54" s="129"/>
      <c r="CF54" s="129"/>
      <c r="CG54" s="129"/>
      <c r="CH54" s="129"/>
    </row>
    <row r="55" spans="21:86" ht="15.75" x14ac:dyDescent="0.25">
      <c r="U55" s="166"/>
      <c r="V55" s="166"/>
      <c r="W55" s="124"/>
      <c r="X55" s="123"/>
      <c r="Y55" s="123"/>
      <c r="Z55" s="129"/>
      <c r="AA55" s="129"/>
      <c r="AB55" s="129"/>
      <c r="AC55" s="129"/>
      <c r="AD55" s="129"/>
      <c r="AE55" s="129"/>
      <c r="AF55" s="129"/>
      <c r="AG55" s="129"/>
      <c r="AH55" s="129"/>
      <c r="AI55" s="129"/>
      <c r="AJ55" s="129"/>
      <c r="AK55" s="129"/>
      <c r="AL55" s="129"/>
      <c r="AM55" s="129"/>
      <c r="AN55" s="129"/>
      <c r="AO55" s="129"/>
      <c r="AP55" s="129"/>
      <c r="AQ55" s="129"/>
      <c r="AR55" s="129"/>
      <c r="AS55" s="129"/>
      <c r="AT55" s="129"/>
      <c r="AU55" s="129"/>
      <c r="AV55" s="129"/>
      <c r="AW55" s="129"/>
      <c r="AX55" s="129"/>
      <c r="AY55" s="129"/>
      <c r="AZ55" s="129"/>
      <c r="BA55" s="129"/>
      <c r="BB55" s="129"/>
      <c r="BC55" s="129"/>
      <c r="BD55" s="129"/>
      <c r="BE55" s="129"/>
      <c r="BF55" s="129"/>
      <c r="BG55" s="129"/>
      <c r="BH55" s="129"/>
      <c r="BI55" s="129"/>
      <c r="BJ55" s="129"/>
      <c r="BK55" s="129"/>
      <c r="BL55" s="129"/>
      <c r="BM55" s="129"/>
      <c r="BN55" s="129"/>
      <c r="BO55" s="129"/>
      <c r="BP55" s="129"/>
      <c r="BQ55" s="129"/>
      <c r="BR55" s="129"/>
      <c r="BS55" s="129"/>
      <c r="BT55" s="129"/>
      <c r="BU55" s="129"/>
      <c r="BV55" s="129"/>
      <c r="BW55" s="129"/>
      <c r="BX55" s="129"/>
      <c r="BY55" s="129"/>
      <c r="BZ55" s="129"/>
      <c r="CA55" s="129"/>
      <c r="CB55" s="129"/>
      <c r="CC55" s="129"/>
      <c r="CD55" s="129"/>
      <c r="CE55" s="129"/>
      <c r="CF55" s="129"/>
      <c r="CG55" s="129"/>
      <c r="CH55" s="129"/>
    </row>
    <row r="56" spans="21:86" ht="15.75" x14ac:dyDescent="0.25">
      <c r="U56" s="166"/>
      <c r="V56" s="166"/>
      <c r="W56" s="124"/>
      <c r="X56" s="123"/>
      <c r="Y56" s="123"/>
      <c r="Z56" s="129"/>
      <c r="AA56" s="129"/>
      <c r="AB56" s="129"/>
      <c r="AC56" s="129"/>
      <c r="AD56" s="129"/>
      <c r="AE56" s="129"/>
      <c r="AF56" s="129"/>
      <c r="AG56" s="129"/>
      <c r="AH56" s="129"/>
      <c r="AI56" s="129"/>
      <c r="AJ56" s="129"/>
      <c r="AK56" s="129"/>
      <c r="AL56" s="129"/>
      <c r="AM56" s="129"/>
      <c r="AN56" s="129"/>
      <c r="AO56" s="129"/>
      <c r="AP56" s="129"/>
      <c r="AQ56" s="129"/>
      <c r="AR56" s="129"/>
      <c r="AS56" s="129"/>
      <c r="AT56" s="129"/>
      <c r="AU56" s="129"/>
      <c r="AV56" s="129"/>
      <c r="AW56" s="129"/>
      <c r="AX56" s="129"/>
      <c r="AY56" s="129"/>
      <c r="AZ56" s="129"/>
      <c r="BA56" s="129"/>
      <c r="BB56" s="129"/>
      <c r="BC56" s="129"/>
      <c r="BD56" s="129"/>
      <c r="BE56" s="129"/>
      <c r="BF56" s="129"/>
      <c r="BG56" s="129"/>
      <c r="BH56" s="129"/>
      <c r="BI56" s="129"/>
      <c r="BJ56" s="129"/>
      <c r="BK56" s="129"/>
      <c r="BL56" s="129"/>
      <c r="BM56" s="129"/>
      <c r="BN56" s="129"/>
      <c r="BO56" s="129"/>
      <c r="BP56" s="129"/>
      <c r="BQ56" s="129"/>
      <c r="BR56" s="129"/>
      <c r="BS56" s="129"/>
      <c r="BT56" s="129"/>
      <c r="BU56" s="129"/>
      <c r="BV56" s="129"/>
      <c r="BW56" s="129"/>
      <c r="BX56" s="129"/>
      <c r="BY56" s="129"/>
      <c r="BZ56" s="129"/>
      <c r="CA56" s="129"/>
      <c r="CB56" s="129"/>
      <c r="CC56" s="129"/>
      <c r="CD56" s="129"/>
      <c r="CE56" s="129"/>
      <c r="CF56" s="129"/>
      <c r="CG56" s="129"/>
      <c r="CH56" s="129"/>
    </row>
    <row r="57" spans="21:86" ht="15.75" x14ac:dyDescent="0.25">
      <c r="U57" s="166"/>
      <c r="V57" s="166"/>
      <c r="W57" s="124"/>
      <c r="X57" s="123"/>
      <c r="Y57" s="123"/>
      <c r="Z57" s="129"/>
      <c r="AA57" s="129"/>
      <c r="AB57" s="129"/>
      <c r="AC57" s="129"/>
      <c r="AD57" s="129"/>
      <c r="AE57" s="129"/>
      <c r="AF57" s="129"/>
      <c r="AG57" s="129"/>
      <c r="AH57" s="129"/>
      <c r="AI57" s="129"/>
      <c r="AJ57" s="129"/>
      <c r="AK57" s="129"/>
      <c r="AL57" s="129"/>
      <c r="AM57" s="129"/>
      <c r="AN57" s="129"/>
      <c r="AO57" s="129"/>
      <c r="AP57" s="129"/>
      <c r="AQ57" s="129"/>
      <c r="AR57" s="129"/>
      <c r="AS57" s="129"/>
      <c r="AT57" s="129"/>
      <c r="AU57" s="129"/>
      <c r="AV57" s="129"/>
      <c r="AW57" s="129"/>
      <c r="AX57" s="129"/>
      <c r="AY57" s="129"/>
      <c r="AZ57" s="129"/>
      <c r="BA57" s="129"/>
      <c r="BB57" s="129"/>
      <c r="BC57" s="129"/>
      <c r="BD57" s="129"/>
      <c r="BE57" s="129"/>
      <c r="BF57" s="129"/>
      <c r="BG57" s="129"/>
      <c r="BH57" s="129"/>
      <c r="BI57" s="129"/>
      <c r="BJ57" s="129"/>
      <c r="BK57" s="129"/>
      <c r="BL57" s="129"/>
      <c r="BM57" s="129"/>
      <c r="BN57" s="129"/>
      <c r="BO57" s="129"/>
      <c r="BP57" s="129"/>
      <c r="BQ57" s="129"/>
      <c r="BR57" s="129"/>
      <c r="BS57" s="129"/>
      <c r="BT57" s="129"/>
      <c r="BU57" s="129"/>
      <c r="BV57" s="129"/>
      <c r="BW57" s="129"/>
      <c r="BX57" s="129"/>
      <c r="BY57" s="129"/>
      <c r="BZ57" s="129"/>
      <c r="CA57" s="129"/>
      <c r="CB57" s="129"/>
      <c r="CC57" s="129"/>
      <c r="CD57" s="129"/>
      <c r="CE57" s="129"/>
      <c r="CF57" s="129"/>
      <c r="CG57" s="129"/>
      <c r="CH57" s="129"/>
    </row>
    <row r="58" spans="21:86" ht="15.75" x14ac:dyDescent="0.25">
      <c r="U58" s="166"/>
      <c r="V58" s="166"/>
      <c r="W58" s="124"/>
      <c r="X58" s="123"/>
      <c r="Y58" s="123"/>
      <c r="Z58" s="129"/>
      <c r="AA58" s="129"/>
      <c r="AB58" s="129"/>
      <c r="AC58" s="129"/>
      <c r="AD58" s="129"/>
      <c r="AE58" s="129"/>
      <c r="AF58" s="129"/>
      <c r="AG58" s="129"/>
      <c r="AH58" s="129"/>
      <c r="AI58" s="129"/>
      <c r="AJ58" s="129"/>
      <c r="AK58" s="129"/>
      <c r="AL58" s="129"/>
      <c r="AM58" s="129"/>
      <c r="AN58" s="129"/>
      <c r="AO58" s="129"/>
      <c r="AP58" s="129"/>
      <c r="AQ58" s="129"/>
      <c r="AR58" s="129"/>
      <c r="AS58" s="129"/>
      <c r="AT58" s="129"/>
      <c r="AU58" s="129"/>
      <c r="AV58" s="129"/>
      <c r="AW58" s="129"/>
      <c r="AX58" s="129"/>
      <c r="AY58" s="129"/>
      <c r="AZ58" s="129"/>
      <c r="BA58" s="129"/>
      <c r="BB58" s="129"/>
      <c r="BC58" s="129"/>
      <c r="BD58" s="129"/>
      <c r="BE58" s="129"/>
      <c r="BF58" s="129"/>
      <c r="BG58" s="129"/>
      <c r="BH58" s="129"/>
      <c r="BI58" s="129"/>
      <c r="BJ58" s="129"/>
      <c r="BK58" s="129"/>
      <c r="BL58" s="129"/>
      <c r="BM58" s="129"/>
      <c r="BN58" s="129"/>
      <c r="BO58" s="129"/>
      <c r="BP58" s="129"/>
      <c r="BQ58" s="129"/>
      <c r="BR58" s="129"/>
      <c r="BS58" s="129"/>
      <c r="BT58" s="129"/>
      <c r="BU58" s="129"/>
      <c r="BV58" s="129"/>
      <c r="BW58" s="129"/>
      <c r="BX58" s="129"/>
      <c r="BY58" s="129"/>
      <c r="BZ58" s="129"/>
      <c r="CA58" s="129"/>
      <c r="CB58" s="129"/>
      <c r="CC58" s="129"/>
      <c r="CD58" s="129"/>
      <c r="CE58" s="129"/>
      <c r="CF58" s="129"/>
      <c r="CG58" s="129"/>
      <c r="CH58" s="129"/>
    </row>
    <row r="59" spans="21:86" ht="15.75" x14ac:dyDescent="0.25">
      <c r="U59" s="166"/>
      <c r="V59" s="166"/>
      <c r="W59" s="124"/>
      <c r="X59" s="123"/>
      <c r="Y59" s="123"/>
      <c r="Z59" s="129"/>
      <c r="AA59" s="129"/>
      <c r="AB59" s="129"/>
      <c r="AC59" s="129"/>
      <c r="AD59" s="129"/>
      <c r="AE59" s="129"/>
      <c r="AF59" s="129"/>
      <c r="AG59" s="129"/>
      <c r="AH59" s="129"/>
      <c r="AI59" s="129"/>
      <c r="AJ59" s="129"/>
      <c r="AK59" s="129"/>
      <c r="AL59" s="129"/>
      <c r="AM59" s="129"/>
      <c r="AN59" s="129"/>
      <c r="AO59" s="129"/>
      <c r="AP59" s="129"/>
      <c r="AQ59" s="129"/>
      <c r="AR59" s="129"/>
      <c r="AS59" s="129"/>
      <c r="AT59" s="129"/>
      <c r="AU59" s="129"/>
      <c r="AV59" s="129"/>
      <c r="AW59" s="129"/>
      <c r="AX59" s="129"/>
      <c r="AY59" s="129"/>
      <c r="AZ59" s="129"/>
      <c r="BA59" s="129"/>
      <c r="BB59" s="129"/>
      <c r="BC59" s="129"/>
      <c r="BD59" s="129"/>
      <c r="BE59" s="129"/>
      <c r="BF59" s="129"/>
      <c r="BG59" s="129"/>
      <c r="BH59" s="129"/>
      <c r="BI59" s="129"/>
      <c r="BJ59" s="129"/>
      <c r="BK59" s="129"/>
      <c r="BL59" s="129"/>
      <c r="BM59" s="129"/>
      <c r="BN59" s="129"/>
      <c r="BO59" s="129"/>
      <c r="BP59" s="129"/>
      <c r="BQ59" s="129"/>
      <c r="BR59" s="129"/>
      <c r="BS59" s="129"/>
      <c r="BT59" s="129"/>
      <c r="BU59" s="129"/>
      <c r="BV59" s="129"/>
      <c r="BW59" s="129"/>
      <c r="BX59" s="129"/>
      <c r="BY59" s="129"/>
      <c r="BZ59" s="129"/>
      <c r="CA59" s="129"/>
      <c r="CB59" s="129"/>
      <c r="CC59" s="129"/>
      <c r="CD59" s="129"/>
      <c r="CE59" s="129"/>
      <c r="CF59" s="129"/>
      <c r="CG59" s="129"/>
      <c r="CH59" s="129"/>
    </row>
    <row r="60" spans="21:86" ht="15.75" x14ac:dyDescent="0.25">
      <c r="U60" s="166"/>
      <c r="V60" s="166"/>
      <c r="W60" s="124"/>
      <c r="X60" s="123"/>
      <c r="Y60" s="123"/>
      <c r="Z60" s="129"/>
      <c r="AA60" s="129"/>
      <c r="AB60" s="129"/>
      <c r="AC60" s="129"/>
      <c r="AD60" s="129"/>
      <c r="AE60" s="129"/>
      <c r="AF60" s="129"/>
      <c r="AG60" s="129"/>
      <c r="AH60" s="129"/>
      <c r="AI60" s="129"/>
      <c r="AJ60" s="129"/>
      <c r="AK60" s="129"/>
      <c r="AL60" s="129"/>
      <c r="AM60" s="129"/>
      <c r="AN60" s="129"/>
      <c r="AO60" s="129"/>
      <c r="AP60" s="129"/>
      <c r="AQ60" s="129"/>
      <c r="AR60" s="129"/>
      <c r="AS60" s="129"/>
      <c r="AT60" s="129"/>
      <c r="AU60" s="129"/>
      <c r="AV60" s="129"/>
      <c r="AW60" s="129"/>
      <c r="AX60" s="129"/>
      <c r="AY60" s="129"/>
      <c r="AZ60" s="129"/>
      <c r="BA60" s="129"/>
      <c r="BB60" s="129"/>
      <c r="BC60" s="129"/>
      <c r="BD60" s="129"/>
      <c r="BE60" s="129"/>
      <c r="BF60" s="129"/>
      <c r="BG60" s="129"/>
      <c r="BH60" s="129"/>
      <c r="BI60" s="129"/>
      <c r="BJ60" s="129"/>
      <c r="BK60" s="129"/>
      <c r="BL60" s="129"/>
      <c r="BM60" s="129"/>
      <c r="BN60" s="129"/>
      <c r="BO60" s="129"/>
      <c r="BP60" s="129"/>
      <c r="BQ60" s="129"/>
      <c r="BR60" s="129"/>
      <c r="BS60" s="129"/>
      <c r="BT60" s="129"/>
      <c r="BU60" s="129"/>
      <c r="BV60" s="129"/>
      <c r="BW60" s="129"/>
      <c r="BX60" s="129"/>
      <c r="BY60" s="129"/>
      <c r="BZ60" s="129"/>
      <c r="CA60" s="129"/>
      <c r="CB60" s="129"/>
      <c r="CC60" s="129"/>
      <c r="CD60" s="129"/>
      <c r="CE60" s="129"/>
      <c r="CF60" s="129"/>
      <c r="CG60" s="129"/>
      <c r="CH60" s="129"/>
    </row>
    <row r="61" spans="21:86" ht="15.75" x14ac:dyDescent="0.25">
      <c r="U61" s="166"/>
      <c r="V61" s="166"/>
      <c r="W61" s="124"/>
      <c r="X61" s="123"/>
      <c r="Y61" s="123"/>
      <c r="Z61" s="129"/>
      <c r="AA61" s="129"/>
      <c r="AB61" s="129"/>
      <c r="AC61" s="129"/>
      <c r="AD61" s="129"/>
      <c r="AE61" s="129"/>
      <c r="AF61" s="129"/>
      <c r="AG61" s="129"/>
      <c r="AH61" s="129"/>
      <c r="AI61" s="129"/>
      <c r="AJ61" s="129"/>
      <c r="AK61" s="129"/>
      <c r="AL61" s="129"/>
      <c r="AM61" s="129"/>
      <c r="AN61" s="129"/>
      <c r="AO61" s="129"/>
      <c r="AP61" s="129"/>
      <c r="AQ61" s="129"/>
      <c r="AR61" s="129"/>
      <c r="AS61" s="129"/>
      <c r="AT61" s="129"/>
      <c r="AU61" s="129"/>
      <c r="AV61" s="129"/>
      <c r="AW61" s="129"/>
      <c r="AX61" s="129"/>
      <c r="AY61" s="129"/>
      <c r="AZ61" s="129"/>
      <c r="BA61" s="129"/>
      <c r="BB61" s="129"/>
      <c r="BC61" s="129"/>
      <c r="BD61" s="129"/>
      <c r="BE61" s="129"/>
      <c r="BF61" s="129"/>
      <c r="BG61" s="129"/>
      <c r="BH61" s="129"/>
      <c r="BI61" s="129"/>
      <c r="BJ61" s="129"/>
      <c r="BK61" s="129"/>
      <c r="BL61" s="129"/>
      <c r="BM61" s="129"/>
      <c r="BN61" s="129"/>
      <c r="BO61" s="129"/>
      <c r="BP61" s="129"/>
      <c r="BQ61" s="129"/>
      <c r="BR61" s="129"/>
      <c r="BS61" s="129"/>
      <c r="BT61" s="129"/>
      <c r="BU61" s="129"/>
      <c r="BV61" s="129"/>
      <c r="BW61" s="129"/>
      <c r="BX61" s="129"/>
      <c r="BY61" s="129"/>
      <c r="BZ61" s="129"/>
      <c r="CA61" s="129"/>
      <c r="CB61" s="129"/>
      <c r="CC61" s="129"/>
      <c r="CD61" s="129"/>
      <c r="CE61" s="129"/>
      <c r="CF61" s="129"/>
      <c r="CG61" s="129"/>
      <c r="CH61" s="129"/>
    </row>
    <row r="62" spans="21:86" ht="15.75" x14ac:dyDescent="0.25">
      <c r="U62" s="166"/>
      <c r="V62" s="166"/>
      <c r="W62" s="124"/>
      <c r="X62" s="123"/>
      <c r="Y62" s="123"/>
      <c r="Z62" s="129"/>
      <c r="AA62" s="129"/>
      <c r="AB62" s="129"/>
      <c r="AC62" s="129"/>
      <c r="AD62" s="129"/>
      <c r="AE62" s="129"/>
      <c r="AF62" s="129"/>
      <c r="AG62" s="129"/>
      <c r="AH62" s="129"/>
      <c r="AI62" s="129"/>
      <c r="AJ62" s="129"/>
      <c r="AK62" s="129"/>
      <c r="AL62" s="129"/>
      <c r="AM62" s="129"/>
      <c r="AN62" s="129"/>
      <c r="AO62" s="129"/>
      <c r="AP62" s="129"/>
      <c r="AQ62" s="129"/>
      <c r="AR62" s="129"/>
      <c r="AS62" s="129"/>
      <c r="AT62" s="129"/>
      <c r="AU62" s="129"/>
      <c r="AV62" s="129"/>
      <c r="AW62" s="129"/>
      <c r="AX62" s="129"/>
      <c r="AY62" s="129"/>
      <c r="AZ62" s="129"/>
      <c r="BA62" s="129"/>
      <c r="BB62" s="129"/>
      <c r="BC62" s="129"/>
      <c r="BD62" s="129"/>
      <c r="BE62" s="129"/>
      <c r="BF62" s="129"/>
      <c r="BG62" s="129"/>
      <c r="BH62" s="129"/>
      <c r="BI62" s="129"/>
      <c r="BJ62" s="129"/>
      <c r="BK62" s="129"/>
      <c r="BL62" s="129"/>
      <c r="BM62" s="129"/>
      <c r="BN62" s="129"/>
      <c r="BO62" s="129"/>
      <c r="BP62" s="129"/>
      <c r="BQ62" s="129"/>
      <c r="BR62" s="129"/>
      <c r="BS62" s="129"/>
      <c r="BT62" s="129"/>
      <c r="BU62" s="129"/>
      <c r="BV62" s="129"/>
      <c r="BW62" s="129"/>
      <c r="BX62" s="129"/>
      <c r="BY62" s="129"/>
      <c r="BZ62" s="129"/>
      <c r="CA62" s="129"/>
      <c r="CB62" s="129"/>
      <c r="CC62" s="129"/>
      <c r="CD62" s="129"/>
      <c r="CE62" s="129"/>
      <c r="CF62" s="129"/>
      <c r="CG62" s="129"/>
      <c r="CH62" s="129"/>
    </row>
    <row r="63" spans="21:86" ht="15.75" x14ac:dyDescent="0.25">
      <c r="U63" s="166"/>
      <c r="V63" s="166"/>
      <c r="W63" s="124"/>
      <c r="X63" s="123"/>
      <c r="Y63" s="123"/>
      <c r="Z63" s="129"/>
      <c r="AA63" s="129"/>
      <c r="AB63" s="129"/>
      <c r="AC63" s="129"/>
      <c r="AD63" s="129"/>
      <c r="AE63" s="129"/>
      <c r="AF63" s="129"/>
      <c r="AG63" s="129"/>
      <c r="AH63" s="129"/>
      <c r="AI63" s="129"/>
      <c r="AJ63" s="129"/>
      <c r="AK63" s="129"/>
      <c r="AL63" s="129"/>
      <c r="AM63" s="129"/>
      <c r="AN63" s="129"/>
      <c r="AO63" s="129"/>
      <c r="AP63" s="129"/>
      <c r="AQ63" s="129"/>
      <c r="AR63" s="129"/>
      <c r="AS63" s="129"/>
      <c r="AT63" s="129"/>
      <c r="AU63" s="129"/>
      <c r="AV63" s="129"/>
      <c r="AW63" s="129"/>
      <c r="AX63" s="129"/>
      <c r="AY63" s="129"/>
      <c r="AZ63" s="129"/>
      <c r="BA63" s="129"/>
      <c r="BB63" s="129"/>
      <c r="BC63" s="129"/>
      <c r="BD63" s="129"/>
      <c r="BE63" s="129"/>
      <c r="BF63" s="129"/>
      <c r="BG63" s="129"/>
      <c r="BH63" s="129"/>
      <c r="BI63" s="129"/>
      <c r="BJ63" s="129"/>
      <c r="BK63" s="129"/>
      <c r="BL63" s="129"/>
      <c r="BM63" s="129"/>
      <c r="BN63" s="129"/>
      <c r="BO63" s="129"/>
      <c r="BP63" s="129"/>
      <c r="BQ63" s="129"/>
      <c r="BR63" s="129"/>
      <c r="BS63" s="129"/>
      <c r="BT63" s="129"/>
      <c r="BU63" s="129"/>
      <c r="BV63" s="129"/>
      <c r="BW63" s="129"/>
      <c r="BX63" s="129"/>
      <c r="BY63" s="129"/>
      <c r="BZ63" s="129"/>
      <c r="CA63" s="129"/>
      <c r="CB63" s="129"/>
      <c r="CC63" s="129"/>
      <c r="CD63" s="129"/>
      <c r="CE63" s="129"/>
      <c r="CF63" s="129"/>
      <c r="CG63" s="129"/>
      <c r="CH63" s="129"/>
    </row>
    <row r="64" spans="21:86" ht="15.75" x14ac:dyDescent="0.25">
      <c r="U64" s="166"/>
      <c r="V64" s="166"/>
      <c r="W64" s="124"/>
      <c r="X64" s="123"/>
      <c r="Y64" s="123"/>
      <c r="Z64" s="129"/>
      <c r="AA64" s="129"/>
      <c r="AB64" s="129"/>
      <c r="AC64" s="129"/>
      <c r="AD64" s="129"/>
      <c r="AE64" s="129"/>
      <c r="AF64" s="129"/>
      <c r="AG64" s="129"/>
      <c r="AH64" s="129"/>
      <c r="AI64" s="129"/>
      <c r="AJ64" s="129"/>
      <c r="AK64" s="129"/>
      <c r="AL64" s="129"/>
      <c r="AM64" s="129"/>
      <c r="AN64" s="129"/>
      <c r="AO64" s="129"/>
      <c r="AP64" s="129"/>
      <c r="AQ64" s="129"/>
      <c r="AR64" s="129"/>
      <c r="AS64" s="129"/>
      <c r="AT64" s="129"/>
      <c r="AU64" s="129"/>
      <c r="AV64" s="129"/>
      <c r="AW64" s="129"/>
      <c r="AX64" s="129"/>
      <c r="AY64" s="129"/>
      <c r="AZ64" s="129"/>
      <c r="BA64" s="129"/>
      <c r="BB64" s="129"/>
      <c r="BC64" s="129"/>
      <c r="BD64" s="129"/>
      <c r="BE64" s="129"/>
      <c r="BF64" s="129"/>
      <c r="BG64" s="129"/>
      <c r="BH64" s="129"/>
      <c r="BI64" s="129"/>
      <c r="BJ64" s="129"/>
      <c r="BK64" s="129"/>
      <c r="BL64" s="129"/>
      <c r="BM64" s="129"/>
      <c r="BN64" s="129"/>
      <c r="BO64" s="129"/>
      <c r="BP64" s="129"/>
      <c r="BQ64" s="129"/>
      <c r="BR64" s="129"/>
      <c r="BS64" s="129"/>
      <c r="BT64" s="129"/>
      <c r="BU64" s="129"/>
      <c r="BV64" s="129"/>
      <c r="BW64" s="129"/>
      <c r="BX64" s="129"/>
      <c r="BY64" s="129"/>
      <c r="BZ64" s="129"/>
      <c r="CA64" s="129"/>
      <c r="CB64" s="129"/>
      <c r="CC64" s="129"/>
      <c r="CD64" s="129"/>
      <c r="CE64" s="129"/>
      <c r="CF64" s="129"/>
      <c r="CG64" s="129"/>
      <c r="CH64" s="129"/>
    </row>
    <row r="65" spans="21:86" ht="15.75" x14ac:dyDescent="0.25">
      <c r="U65" s="166"/>
      <c r="V65" s="166"/>
      <c r="W65" s="124"/>
      <c r="X65" s="123"/>
      <c r="Y65" s="123"/>
      <c r="Z65" s="129"/>
      <c r="AA65" s="129"/>
      <c r="AB65" s="129"/>
      <c r="AC65" s="129"/>
      <c r="AD65" s="129"/>
      <c r="AE65" s="129"/>
      <c r="AF65" s="129"/>
      <c r="AG65" s="129"/>
      <c r="AH65" s="129"/>
      <c r="AI65" s="129"/>
      <c r="AJ65" s="129"/>
      <c r="AK65" s="129"/>
      <c r="AL65" s="129"/>
      <c r="AM65" s="129"/>
      <c r="AN65" s="129"/>
      <c r="AO65" s="129"/>
      <c r="AP65" s="129"/>
      <c r="AQ65" s="129"/>
      <c r="AR65" s="129"/>
      <c r="AS65" s="129"/>
      <c r="AT65" s="129"/>
      <c r="AU65" s="129"/>
      <c r="AV65" s="129"/>
      <c r="AW65" s="129"/>
      <c r="AX65" s="129"/>
      <c r="AY65" s="129"/>
      <c r="AZ65" s="129"/>
      <c r="BA65" s="129"/>
      <c r="BB65" s="129"/>
      <c r="BC65" s="129"/>
      <c r="BD65" s="129"/>
      <c r="BE65" s="129"/>
      <c r="BF65" s="129"/>
      <c r="BG65" s="129"/>
      <c r="BH65" s="129"/>
      <c r="BI65" s="129"/>
      <c r="BJ65" s="129"/>
      <c r="BK65" s="129"/>
      <c r="BL65" s="129"/>
      <c r="BM65" s="129"/>
      <c r="BN65" s="129"/>
      <c r="BO65" s="129"/>
      <c r="BP65" s="129"/>
      <c r="BQ65" s="129"/>
      <c r="BR65" s="129"/>
      <c r="BS65" s="129"/>
      <c r="BT65" s="129"/>
      <c r="BU65" s="129"/>
      <c r="BV65" s="129"/>
      <c r="BW65" s="129"/>
      <c r="BX65" s="129"/>
      <c r="BY65" s="129"/>
      <c r="BZ65" s="129"/>
      <c r="CA65" s="129"/>
      <c r="CB65" s="129"/>
      <c r="CC65" s="129"/>
      <c r="CD65" s="129"/>
      <c r="CE65" s="129"/>
      <c r="CF65" s="129"/>
      <c r="CG65" s="129"/>
      <c r="CH65" s="129"/>
    </row>
    <row r="66" spans="21:86" ht="15.75" x14ac:dyDescent="0.25">
      <c r="U66" s="166"/>
      <c r="V66" s="166"/>
      <c r="W66" s="124"/>
      <c r="X66" s="123"/>
      <c r="Y66" s="123"/>
      <c r="Z66" s="129"/>
      <c r="AA66" s="129"/>
      <c r="AB66" s="129"/>
      <c r="AC66" s="129"/>
      <c r="AD66" s="129"/>
      <c r="AE66" s="129"/>
      <c r="AF66" s="129"/>
      <c r="AG66" s="129"/>
      <c r="AH66" s="129"/>
      <c r="AI66" s="129"/>
      <c r="AJ66" s="129"/>
      <c r="AK66" s="129"/>
      <c r="AL66" s="129"/>
      <c r="AM66" s="129"/>
      <c r="AN66" s="129"/>
      <c r="AO66" s="129"/>
      <c r="AP66" s="129"/>
      <c r="AQ66" s="129"/>
      <c r="AR66" s="129"/>
      <c r="AS66" s="129"/>
      <c r="AT66" s="129"/>
      <c r="AU66" s="129"/>
      <c r="AV66" s="129"/>
      <c r="AW66" s="129"/>
      <c r="AX66" s="129"/>
      <c r="AY66" s="129"/>
      <c r="AZ66" s="129"/>
      <c r="BA66" s="129"/>
      <c r="BB66" s="129"/>
      <c r="BC66" s="129"/>
      <c r="BD66" s="129"/>
      <c r="BE66" s="129"/>
      <c r="BF66" s="129"/>
      <c r="BG66" s="129"/>
      <c r="BH66" s="129"/>
      <c r="BI66" s="129"/>
      <c r="BJ66" s="129"/>
      <c r="BK66" s="129"/>
      <c r="BL66" s="129"/>
      <c r="BM66" s="129"/>
      <c r="BN66" s="129"/>
      <c r="BO66" s="129"/>
      <c r="BP66" s="129"/>
      <c r="BQ66" s="129"/>
      <c r="BR66" s="129"/>
      <c r="BS66" s="129"/>
      <c r="BT66" s="129"/>
      <c r="BU66" s="129"/>
      <c r="BV66" s="129"/>
      <c r="BW66" s="129"/>
      <c r="BX66" s="129"/>
      <c r="BY66" s="129"/>
      <c r="BZ66" s="129"/>
      <c r="CA66" s="129"/>
      <c r="CB66" s="129"/>
      <c r="CC66" s="129"/>
      <c r="CD66" s="129"/>
      <c r="CE66" s="129"/>
      <c r="CF66" s="129"/>
      <c r="CG66" s="129"/>
      <c r="CH66" s="129"/>
    </row>
    <row r="67" spans="21:86" ht="15.75" x14ac:dyDescent="0.25">
      <c r="U67" s="166"/>
      <c r="V67" s="166"/>
      <c r="W67" s="124"/>
      <c r="X67" s="123"/>
      <c r="Y67" s="123"/>
      <c r="Z67" s="129"/>
      <c r="AA67" s="129"/>
      <c r="AB67" s="129"/>
      <c r="AC67" s="129"/>
      <c r="AD67" s="129"/>
      <c r="AE67" s="129"/>
      <c r="AF67" s="129"/>
      <c r="AG67" s="129"/>
      <c r="AH67" s="129"/>
      <c r="AI67" s="129"/>
      <c r="AJ67" s="129"/>
      <c r="AK67" s="129"/>
      <c r="AL67" s="129"/>
      <c r="AM67" s="129"/>
      <c r="AN67" s="129"/>
      <c r="AO67" s="129"/>
      <c r="AP67" s="129"/>
      <c r="AQ67" s="129"/>
      <c r="AR67" s="129"/>
      <c r="AS67" s="129"/>
      <c r="AT67" s="129"/>
      <c r="AU67" s="129"/>
      <c r="AV67" s="129"/>
      <c r="AW67" s="129"/>
      <c r="AX67" s="129"/>
      <c r="AY67" s="129"/>
      <c r="AZ67" s="129"/>
      <c r="BA67" s="129"/>
      <c r="BB67" s="129"/>
      <c r="BC67" s="129"/>
      <c r="BD67" s="129"/>
      <c r="BE67" s="129"/>
      <c r="BF67" s="129"/>
      <c r="BG67" s="129"/>
      <c r="BH67" s="129"/>
      <c r="BI67" s="129"/>
      <c r="BJ67" s="129"/>
      <c r="BK67" s="129"/>
      <c r="BL67" s="129"/>
      <c r="BM67" s="129"/>
      <c r="BN67" s="129"/>
      <c r="BO67" s="129"/>
      <c r="BP67" s="129"/>
      <c r="BQ67" s="129"/>
      <c r="BR67" s="129"/>
      <c r="BS67" s="129"/>
      <c r="BT67" s="129"/>
      <c r="BU67" s="129"/>
      <c r="BV67" s="129"/>
      <c r="BW67" s="129"/>
      <c r="BX67" s="129"/>
      <c r="BY67" s="129"/>
      <c r="BZ67" s="129"/>
      <c r="CA67" s="129"/>
      <c r="CB67" s="129"/>
      <c r="CC67" s="129"/>
      <c r="CD67" s="129"/>
      <c r="CE67" s="129"/>
      <c r="CF67" s="129"/>
      <c r="CG67" s="129"/>
      <c r="CH67" s="129"/>
    </row>
    <row r="68" spans="21:86" ht="15.75" x14ac:dyDescent="0.25">
      <c r="U68" s="166"/>
      <c r="V68" s="166"/>
      <c r="W68" s="124"/>
      <c r="X68" s="123"/>
      <c r="Y68" s="123"/>
      <c r="Z68" s="129"/>
      <c r="AA68" s="129"/>
      <c r="AB68" s="129"/>
      <c r="AC68" s="129"/>
      <c r="AD68" s="129"/>
      <c r="AE68" s="129"/>
      <c r="AF68" s="129"/>
      <c r="AG68" s="129"/>
      <c r="AH68" s="129"/>
      <c r="AI68" s="129"/>
      <c r="AJ68" s="129"/>
      <c r="AK68" s="129"/>
      <c r="AL68" s="129"/>
      <c r="AM68" s="129"/>
      <c r="AN68" s="129"/>
      <c r="AO68" s="129"/>
      <c r="AP68" s="129"/>
      <c r="AQ68" s="129"/>
      <c r="AR68" s="129"/>
      <c r="AS68" s="129"/>
      <c r="AT68" s="129"/>
      <c r="AU68" s="129"/>
      <c r="AV68" s="129"/>
      <c r="AW68" s="129"/>
      <c r="AX68" s="129"/>
      <c r="AY68" s="129"/>
      <c r="AZ68" s="129"/>
      <c r="BA68" s="129"/>
      <c r="BB68" s="129"/>
      <c r="BC68" s="129"/>
      <c r="BD68" s="129"/>
      <c r="BE68" s="129"/>
      <c r="BF68" s="129"/>
      <c r="BG68" s="129"/>
      <c r="BH68" s="129"/>
      <c r="BI68" s="129"/>
      <c r="BJ68" s="129"/>
      <c r="BK68" s="129"/>
      <c r="BL68" s="129"/>
      <c r="BM68" s="129"/>
      <c r="BN68" s="129"/>
      <c r="BO68" s="129"/>
      <c r="BP68" s="129"/>
      <c r="BQ68" s="129"/>
      <c r="BR68" s="129"/>
      <c r="BS68" s="129"/>
      <c r="BT68" s="129"/>
      <c r="BU68" s="129"/>
      <c r="BV68" s="129"/>
      <c r="BW68" s="129"/>
      <c r="BX68" s="129"/>
      <c r="BY68" s="129"/>
      <c r="BZ68" s="129"/>
      <c r="CA68" s="129"/>
      <c r="CB68" s="129"/>
      <c r="CC68" s="129"/>
      <c r="CD68" s="129"/>
      <c r="CE68" s="129"/>
      <c r="CF68" s="129"/>
      <c r="CG68" s="129"/>
      <c r="CH68" s="129"/>
    </row>
    <row r="69" spans="21:86" ht="15.75" x14ac:dyDescent="0.25">
      <c r="U69" s="166"/>
      <c r="V69" s="166"/>
      <c r="W69" s="124"/>
      <c r="X69" s="123"/>
      <c r="Y69" s="123"/>
      <c r="Z69" s="129"/>
      <c r="AA69" s="129"/>
      <c r="AB69" s="129"/>
      <c r="AC69" s="129"/>
      <c r="AD69" s="129"/>
      <c r="AE69" s="129"/>
      <c r="AF69" s="129"/>
      <c r="AG69" s="129"/>
      <c r="AH69" s="129"/>
      <c r="AI69" s="129"/>
      <c r="AJ69" s="129"/>
      <c r="AK69" s="129"/>
      <c r="AL69" s="129"/>
      <c r="AM69" s="129"/>
      <c r="AN69" s="129"/>
      <c r="AO69" s="129"/>
      <c r="AP69" s="129"/>
      <c r="AQ69" s="129"/>
      <c r="AR69" s="129"/>
      <c r="AS69" s="129"/>
      <c r="AT69" s="129"/>
      <c r="AU69" s="129"/>
      <c r="AV69" s="129"/>
      <c r="AW69" s="129"/>
      <c r="AX69" s="129"/>
      <c r="AY69" s="129"/>
      <c r="AZ69" s="129"/>
      <c r="BA69" s="129"/>
      <c r="BB69" s="129"/>
      <c r="BC69" s="129"/>
      <c r="BD69" s="129"/>
      <c r="BE69" s="129"/>
      <c r="BF69" s="129"/>
      <c r="BG69" s="129"/>
      <c r="BH69" s="129"/>
      <c r="BI69" s="129"/>
      <c r="BJ69" s="129"/>
      <c r="BK69" s="129"/>
      <c r="BL69" s="129"/>
      <c r="BM69" s="129"/>
      <c r="BN69" s="129"/>
      <c r="BO69" s="129"/>
      <c r="BP69" s="129"/>
      <c r="BQ69" s="129"/>
      <c r="BR69" s="129"/>
      <c r="BS69" s="129"/>
      <c r="BT69" s="129"/>
      <c r="BU69" s="129"/>
      <c r="BV69" s="129"/>
      <c r="BW69" s="129"/>
      <c r="BX69" s="129"/>
      <c r="BY69" s="129"/>
      <c r="BZ69" s="129"/>
      <c r="CA69" s="129"/>
      <c r="CB69" s="129"/>
      <c r="CC69" s="129"/>
      <c r="CD69" s="129"/>
      <c r="CE69" s="129"/>
      <c r="CF69" s="129"/>
      <c r="CG69" s="129"/>
      <c r="CH69" s="129"/>
    </row>
    <row r="70" spans="21:86" ht="15.75" x14ac:dyDescent="0.25">
      <c r="U70" s="166"/>
      <c r="V70" s="166"/>
      <c r="W70" s="124"/>
      <c r="X70" s="123"/>
      <c r="Y70" s="123"/>
      <c r="Z70" s="129"/>
      <c r="AA70" s="129"/>
      <c r="AB70" s="129"/>
      <c r="AC70" s="129"/>
      <c r="AD70" s="129"/>
      <c r="AE70" s="129"/>
      <c r="AF70" s="129"/>
      <c r="AG70" s="129"/>
      <c r="AH70" s="129"/>
      <c r="AI70" s="129"/>
      <c r="AJ70" s="129"/>
      <c r="AK70" s="129"/>
      <c r="AL70" s="129"/>
      <c r="AM70" s="129"/>
      <c r="AN70" s="129"/>
      <c r="AO70" s="129"/>
      <c r="AP70" s="129"/>
      <c r="AQ70" s="129"/>
      <c r="AR70" s="129"/>
      <c r="AS70" s="129"/>
      <c r="AT70" s="129"/>
      <c r="AU70" s="129"/>
      <c r="AV70" s="129"/>
      <c r="AW70" s="129"/>
      <c r="AX70" s="129"/>
      <c r="AY70" s="129"/>
      <c r="AZ70" s="129"/>
      <c r="BA70" s="129"/>
      <c r="BB70" s="129"/>
      <c r="BC70" s="129"/>
      <c r="BD70" s="129"/>
      <c r="BE70" s="129"/>
      <c r="BF70" s="129"/>
      <c r="BG70" s="129"/>
      <c r="BH70" s="129"/>
      <c r="BI70" s="129"/>
      <c r="BJ70" s="129"/>
      <c r="BK70" s="129"/>
      <c r="BL70" s="129"/>
      <c r="BM70" s="129"/>
      <c r="BN70" s="129"/>
      <c r="BO70" s="129"/>
      <c r="BP70" s="129"/>
      <c r="BQ70" s="129"/>
      <c r="BR70" s="129"/>
      <c r="BS70" s="129"/>
      <c r="BT70" s="129"/>
      <c r="BU70" s="129"/>
      <c r="BV70" s="129"/>
      <c r="BW70" s="129"/>
      <c r="BX70" s="129"/>
      <c r="BY70" s="129"/>
      <c r="BZ70" s="129"/>
      <c r="CA70" s="129"/>
      <c r="CB70" s="129"/>
      <c r="CC70" s="129"/>
      <c r="CD70" s="129"/>
      <c r="CE70" s="129"/>
      <c r="CF70" s="129"/>
      <c r="CG70" s="129"/>
      <c r="CH70" s="129"/>
    </row>
    <row r="71" spans="21:86" ht="15.75" x14ac:dyDescent="0.25">
      <c r="U71" s="166"/>
      <c r="V71" s="166"/>
      <c r="W71" s="124"/>
      <c r="X71" s="123"/>
      <c r="Y71" s="123"/>
      <c r="Z71" s="129"/>
      <c r="AA71" s="129"/>
      <c r="AB71" s="129"/>
      <c r="AC71" s="129"/>
      <c r="AD71" s="129"/>
      <c r="AE71" s="129"/>
      <c r="AF71" s="129"/>
      <c r="AG71" s="129"/>
      <c r="AH71" s="129"/>
      <c r="AI71" s="129"/>
      <c r="AJ71" s="129"/>
      <c r="AK71" s="129"/>
      <c r="AL71" s="129"/>
      <c r="AM71" s="129"/>
      <c r="AN71" s="129"/>
      <c r="AO71" s="129"/>
      <c r="AP71" s="129"/>
      <c r="AQ71" s="129"/>
      <c r="AR71" s="129"/>
      <c r="AS71" s="129"/>
      <c r="AT71" s="129"/>
      <c r="AU71" s="129"/>
      <c r="AV71" s="129"/>
      <c r="AW71" s="129"/>
      <c r="AX71" s="129"/>
      <c r="AY71" s="129"/>
      <c r="AZ71" s="129"/>
      <c r="BA71" s="129"/>
      <c r="BB71" s="129"/>
      <c r="BC71" s="129"/>
      <c r="BD71" s="129"/>
      <c r="BE71" s="129"/>
      <c r="BF71" s="129"/>
      <c r="BG71" s="129"/>
      <c r="BH71" s="129"/>
      <c r="BI71" s="129"/>
      <c r="BJ71" s="129"/>
      <c r="BK71" s="129"/>
      <c r="BL71" s="129"/>
      <c r="BM71" s="129"/>
      <c r="BN71" s="129"/>
      <c r="BO71" s="129"/>
      <c r="BP71" s="129"/>
      <c r="BQ71" s="129"/>
      <c r="BR71" s="129"/>
      <c r="BS71" s="129"/>
      <c r="BT71" s="129"/>
      <c r="BU71" s="129"/>
      <c r="BV71" s="129"/>
      <c r="BW71" s="129"/>
      <c r="BX71" s="129"/>
      <c r="BY71" s="129"/>
      <c r="BZ71" s="129"/>
      <c r="CA71" s="129"/>
      <c r="CB71" s="129"/>
      <c r="CC71" s="129"/>
      <c r="CD71" s="129"/>
      <c r="CE71" s="129"/>
      <c r="CF71" s="129"/>
      <c r="CG71" s="129"/>
      <c r="CH71" s="129"/>
    </row>
    <row r="72" spans="21:86" ht="15.75" x14ac:dyDescent="0.25">
      <c r="U72" s="166"/>
      <c r="V72" s="166"/>
      <c r="W72" s="124"/>
      <c r="X72" s="123"/>
      <c r="Y72" s="123"/>
      <c r="Z72" s="129"/>
      <c r="AA72" s="129"/>
      <c r="AB72" s="129"/>
      <c r="AC72" s="129"/>
      <c r="AD72" s="129"/>
      <c r="AE72" s="129"/>
      <c r="AF72" s="129"/>
      <c r="AG72" s="129"/>
      <c r="AH72" s="129"/>
      <c r="AI72" s="129"/>
      <c r="AJ72" s="129"/>
      <c r="AK72" s="129"/>
      <c r="AL72" s="129"/>
      <c r="AM72" s="129"/>
      <c r="AN72" s="129"/>
      <c r="AO72" s="129"/>
      <c r="AP72" s="129"/>
      <c r="AQ72" s="129"/>
      <c r="AR72" s="129"/>
      <c r="AS72" s="129"/>
      <c r="AT72" s="129"/>
      <c r="AU72" s="129"/>
      <c r="AV72" s="129"/>
      <c r="AW72" s="129"/>
      <c r="AX72" s="129"/>
      <c r="AY72" s="129"/>
      <c r="AZ72" s="129"/>
      <c r="BA72" s="129"/>
      <c r="BB72" s="129"/>
      <c r="BC72" s="129"/>
      <c r="BD72" s="129"/>
      <c r="BE72" s="129"/>
      <c r="BF72" s="129"/>
      <c r="BG72" s="129"/>
      <c r="BH72" s="129"/>
      <c r="BI72" s="129"/>
      <c r="BJ72" s="129"/>
      <c r="BK72" s="129"/>
      <c r="BL72" s="129"/>
      <c r="BM72" s="129"/>
      <c r="BN72" s="129"/>
      <c r="BO72" s="129"/>
      <c r="BP72" s="129"/>
      <c r="BQ72" s="129"/>
      <c r="BR72" s="129"/>
      <c r="BS72" s="129"/>
      <c r="BT72" s="129"/>
      <c r="BU72" s="129"/>
      <c r="BV72" s="129"/>
      <c r="BW72" s="129"/>
      <c r="BX72" s="129"/>
      <c r="BY72" s="129"/>
      <c r="BZ72" s="129"/>
      <c r="CA72" s="129"/>
      <c r="CB72" s="129"/>
      <c r="CC72" s="129"/>
      <c r="CD72" s="129"/>
      <c r="CE72" s="129"/>
      <c r="CF72" s="129"/>
      <c r="CG72" s="129"/>
      <c r="CH72" s="129"/>
    </row>
    <row r="73" spans="21:86" ht="15.75" x14ac:dyDescent="0.25">
      <c r="U73" s="166"/>
      <c r="V73" s="166"/>
      <c r="W73" s="124"/>
      <c r="X73" s="124"/>
      <c r="Y73" s="123"/>
      <c r="Z73" s="129"/>
      <c r="AA73" s="129"/>
      <c r="AB73" s="129"/>
      <c r="AC73" s="129"/>
      <c r="AD73" s="129"/>
      <c r="AE73" s="129"/>
      <c r="AF73" s="129"/>
      <c r="AG73" s="129"/>
      <c r="AH73" s="129"/>
      <c r="AI73" s="129"/>
      <c r="AJ73" s="129"/>
      <c r="AK73" s="129"/>
      <c r="AL73" s="129"/>
      <c r="AM73" s="129"/>
      <c r="AN73" s="129"/>
      <c r="AO73" s="129"/>
      <c r="AP73" s="129"/>
      <c r="AQ73" s="129"/>
      <c r="AR73" s="129"/>
      <c r="AS73" s="129"/>
      <c r="AT73" s="129"/>
      <c r="AU73" s="129"/>
      <c r="AV73" s="129"/>
      <c r="AW73" s="129"/>
      <c r="AX73" s="129"/>
      <c r="AY73" s="129"/>
      <c r="AZ73" s="129"/>
      <c r="BA73" s="129"/>
      <c r="BB73" s="129"/>
      <c r="BC73" s="129"/>
      <c r="BD73" s="129"/>
      <c r="BE73" s="129"/>
      <c r="BF73" s="129"/>
      <c r="BG73" s="129"/>
      <c r="BH73" s="129"/>
      <c r="BI73" s="129"/>
      <c r="BJ73" s="129"/>
      <c r="BK73" s="129"/>
      <c r="BL73" s="129"/>
      <c r="BM73" s="129"/>
      <c r="BN73" s="129"/>
      <c r="BO73" s="129"/>
      <c r="BP73" s="129"/>
      <c r="BQ73" s="129"/>
      <c r="BR73" s="129"/>
      <c r="BS73" s="129"/>
      <c r="BT73" s="129"/>
      <c r="BU73" s="129"/>
      <c r="BV73" s="129"/>
      <c r="BW73" s="129"/>
      <c r="BX73" s="129"/>
      <c r="BY73" s="129"/>
      <c r="BZ73" s="129"/>
      <c r="CA73" s="129"/>
      <c r="CB73" s="129"/>
      <c r="CC73" s="129"/>
      <c r="CD73" s="129"/>
      <c r="CE73" s="129"/>
      <c r="CF73" s="129"/>
      <c r="CG73" s="129"/>
      <c r="CH73" s="129"/>
    </row>
    <row r="74" spans="21:86" ht="15.75" x14ac:dyDescent="0.25">
      <c r="U74" s="166"/>
      <c r="V74" s="166"/>
      <c r="W74" s="124"/>
      <c r="X74" s="124"/>
      <c r="Y74" s="123"/>
      <c r="Z74" s="129"/>
      <c r="AA74" s="129"/>
      <c r="AB74" s="129"/>
      <c r="AC74" s="129"/>
      <c r="AD74" s="129"/>
      <c r="AE74" s="129"/>
      <c r="AF74" s="129"/>
      <c r="AG74" s="129"/>
      <c r="AH74" s="129"/>
      <c r="AI74" s="129"/>
      <c r="AJ74" s="129"/>
      <c r="AK74" s="129"/>
      <c r="AL74" s="129"/>
      <c r="AM74" s="129"/>
      <c r="AN74" s="129"/>
      <c r="AO74" s="129"/>
      <c r="AP74" s="129"/>
      <c r="AQ74" s="129"/>
      <c r="AR74" s="129"/>
      <c r="AS74" s="129"/>
      <c r="AT74" s="129"/>
      <c r="AU74" s="129"/>
      <c r="AV74" s="129"/>
      <c r="AW74" s="129"/>
      <c r="AX74" s="129"/>
      <c r="AY74" s="129"/>
      <c r="AZ74" s="129"/>
      <c r="BA74" s="129"/>
      <c r="BB74" s="129"/>
      <c r="BC74" s="129"/>
      <c r="BD74" s="129"/>
      <c r="BE74" s="129"/>
      <c r="BF74" s="129"/>
      <c r="BG74" s="129"/>
      <c r="BH74" s="129"/>
      <c r="BI74" s="129"/>
      <c r="BJ74" s="129"/>
      <c r="BK74" s="129"/>
      <c r="BL74" s="129"/>
      <c r="BM74" s="129"/>
      <c r="BN74" s="129"/>
      <c r="BO74" s="129"/>
      <c r="BP74" s="129"/>
      <c r="BQ74" s="129"/>
      <c r="BR74" s="129"/>
      <c r="BS74" s="129"/>
      <c r="BT74" s="129"/>
      <c r="BU74" s="129"/>
      <c r="BV74" s="129"/>
      <c r="BW74" s="129"/>
      <c r="BX74" s="129"/>
      <c r="BY74" s="129"/>
      <c r="BZ74" s="129"/>
      <c r="CA74" s="129"/>
      <c r="CB74" s="129"/>
      <c r="CC74" s="129"/>
      <c r="CD74" s="129"/>
      <c r="CE74" s="129"/>
      <c r="CF74" s="129"/>
      <c r="CG74" s="129"/>
      <c r="CH74" s="129"/>
    </row>
    <row r="75" spans="21:86" ht="15.75" x14ac:dyDescent="0.25">
      <c r="U75" s="166"/>
      <c r="V75" s="166"/>
      <c r="W75" s="124"/>
      <c r="X75" s="124"/>
      <c r="Y75" s="124"/>
      <c r="Z75" s="129"/>
      <c r="AA75" s="129"/>
      <c r="AB75" s="129"/>
      <c r="AC75" s="129"/>
      <c r="AD75" s="129"/>
      <c r="AE75" s="129"/>
      <c r="AF75" s="129"/>
      <c r="AG75" s="129"/>
      <c r="AH75" s="129"/>
      <c r="AI75" s="129"/>
      <c r="AJ75" s="129"/>
      <c r="AK75" s="129"/>
      <c r="AL75" s="129"/>
      <c r="AM75" s="129"/>
      <c r="AN75" s="129"/>
      <c r="AO75" s="129"/>
      <c r="AP75" s="129"/>
      <c r="AQ75" s="129"/>
      <c r="AR75" s="129"/>
      <c r="AS75" s="129"/>
      <c r="AT75" s="129"/>
      <c r="AU75" s="129"/>
      <c r="AV75" s="129"/>
      <c r="AW75" s="129"/>
      <c r="AX75" s="129"/>
      <c r="AY75" s="129"/>
      <c r="AZ75" s="129"/>
      <c r="BA75" s="129"/>
      <c r="BB75" s="129"/>
      <c r="BC75" s="129"/>
      <c r="BD75" s="129"/>
      <c r="BE75" s="129"/>
      <c r="BF75" s="129"/>
      <c r="BG75" s="129"/>
      <c r="BH75" s="129"/>
      <c r="BI75" s="129"/>
      <c r="BJ75" s="129"/>
      <c r="BK75" s="129"/>
      <c r="BL75" s="129"/>
      <c r="BM75" s="129"/>
      <c r="BN75" s="129"/>
      <c r="BO75" s="129"/>
      <c r="BP75" s="129"/>
      <c r="BQ75" s="129"/>
      <c r="BR75" s="129"/>
      <c r="BS75" s="129"/>
      <c r="BT75" s="129"/>
      <c r="BU75" s="129"/>
      <c r="BV75" s="129"/>
      <c r="BW75" s="129"/>
      <c r="BX75" s="129"/>
      <c r="BY75" s="129"/>
      <c r="BZ75" s="129"/>
      <c r="CA75" s="129"/>
      <c r="CB75" s="129"/>
      <c r="CC75" s="129"/>
      <c r="CD75" s="129"/>
      <c r="CE75" s="129"/>
      <c r="CF75" s="129"/>
      <c r="CG75" s="129"/>
      <c r="CH75" s="129"/>
    </row>
    <row r="76" spans="21:86" ht="15.75" x14ac:dyDescent="0.25">
      <c r="U76" s="166"/>
      <c r="V76" s="166"/>
      <c r="W76" s="124"/>
      <c r="X76" s="124"/>
      <c r="Y76" s="124"/>
      <c r="Z76" s="129"/>
      <c r="AA76" s="129"/>
      <c r="AB76" s="129"/>
      <c r="AC76" s="129"/>
      <c r="AD76" s="129"/>
      <c r="AE76" s="129"/>
      <c r="AF76" s="129"/>
      <c r="AG76" s="129"/>
      <c r="AH76" s="129"/>
      <c r="AI76" s="129"/>
      <c r="AJ76" s="129"/>
      <c r="AK76" s="129"/>
      <c r="AL76" s="129"/>
      <c r="AM76" s="129"/>
      <c r="AN76" s="129"/>
      <c r="AO76" s="129"/>
      <c r="AP76" s="129"/>
      <c r="AQ76" s="129"/>
      <c r="AR76" s="129"/>
      <c r="AS76" s="129"/>
      <c r="AT76" s="129"/>
      <c r="AU76" s="129"/>
      <c r="AV76" s="129"/>
      <c r="AW76" s="129"/>
      <c r="AX76" s="129"/>
      <c r="AY76" s="129"/>
      <c r="AZ76" s="129"/>
      <c r="BA76" s="129"/>
      <c r="BB76" s="129"/>
      <c r="BC76" s="129"/>
      <c r="BD76" s="129"/>
      <c r="BE76" s="129"/>
      <c r="BF76" s="129"/>
      <c r="BG76" s="129"/>
      <c r="BH76" s="129"/>
      <c r="BI76" s="129"/>
      <c r="BJ76" s="129"/>
      <c r="BK76" s="129"/>
      <c r="BL76" s="129"/>
      <c r="BM76" s="129"/>
      <c r="BN76" s="129"/>
      <c r="BO76" s="129"/>
      <c r="BP76" s="129"/>
      <c r="BQ76" s="129"/>
      <c r="BR76" s="129"/>
      <c r="BS76" s="129"/>
      <c r="BT76" s="129"/>
      <c r="BU76" s="129"/>
      <c r="BV76" s="129"/>
      <c r="BW76" s="129"/>
      <c r="BX76" s="129"/>
      <c r="BY76" s="129"/>
      <c r="BZ76" s="129"/>
      <c r="CA76" s="129"/>
      <c r="CB76" s="129"/>
      <c r="CC76" s="129"/>
      <c r="CD76" s="129"/>
      <c r="CE76" s="129"/>
      <c r="CF76" s="129"/>
      <c r="CG76" s="129"/>
      <c r="CH76" s="129"/>
    </row>
    <row r="77" spans="21:86" ht="15.75" x14ac:dyDescent="0.25">
      <c r="U77" s="166"/>
      <c r="V77" s="166"/>
      <c r="W77" s="124"/>
      <c r="X77" s="124"/>
      <c r="Y77" s="124"/>
      <c r="Z77" s="129"/>
      <c r="AA77" s="129"/>
      <c r="AB77" s="129"/>
      <c r="AC77" s="129"/>
      <c r="AD77" s="129"/>
      <c r="AE77" s="129"/>
      <c r="AF77" s="129"/>
      <c r="AG77" s="129"/>
      <c r="AH77" s="129"/>
      <c r="AI77" s="129"/>
      <c r="AJ77" s="129"/>
      <c r="AK77" s="129"/>
      <c r="AL77" s="129"/>
      <c r="AM77" s="129"/>
      <c r="AN77" s="129"/>
      <c r="AO77" s="129"/>
      <c r="AP77" s="129"/>
      <c r="AQ77" s="129"/>
      <c r="AR77" s="129"/>
      <c r="AS77" s="129"/>
      <c r="AT77" s="129"/>
      <c r="AU77" s="129"/>
      <c r="AV77" s="129"/>
      <c r="AW77" s="129"/>
      <c r="AX77" s="129"/>
      <c r="AY77" s="129"/>
      <c r="AZ77" s="129"/>
      <c r="BA77" s="129"/>
      <c r="BB77" s="129"/>
      <c r="BC77" s="129"/>
      <c r="BD77" s="129"/>
      <c r="BE77" s="129"/>
      <c r="BF77" s="129"/>
      <c r="BG77" s="129"/>
      <c r="BH77" s="129"/>
      <c r="BI77" s="129"/>
      <c r="BJ77" s="129"/>
      <c r="BK77" s="129"/>
      <c r="BL77" s="129"/>
      <c r="BM77" s="129"/>
      <c r="BN77" s="129"/>
      <c r="BO77" s="129"/>
      <c r="BP77" s="129"/>
      <c r="BQ77" s="129"/>
      <c r="BR77" s="129"/>
      <c r="BS77" s="129"/>
      <c r="BT77" s="129"/>
      <c r="BU77" s="129"/>
      <c r="BV77" s="129"/>
      <c r="BW77" s="129"/>
      <c r="BX77" s="129"/>
      <c r="BY77" s="129"/>
      <c r="BZ77" s="129"/>
      <c r="CA77" s="129"/>
      <c r="CB77" s="129"/>
      <c r="CC77" s="129"/>
      <c r="CD77" s="129"/>
      <c r="CE77" s="129"/>
      <c r="CF77" s="129"/>
      <c r="CG77" s="129"/>
      <c r="CH77" s="129"/>
    </row>
    <row r="78" spans="21:86" ht="15.75" x14ac:dyDescent="0.25">
      <c r="U78" s="166"/>
      <c r="V78" s="166"/>
      <c r="W78" s="124"/>
      <c r="X78" s="124"/>
      <c r="Y78" s="124"/>
      <c r="Z78" s="129"/>
      <c r="AA78" s="129"/>
      <c r="AB78" s="129"/>
      <c r="AC78" s="129"/>
      <c r="AD78" s="129"/>
      <c r="AE78" s="129"/>
      <c r="AF78" s="129"/>
      <c r="AG78" s="129"/>
      <c r="AH78" s="129"/>
      <c r="AI78" s="129"/>
      <c r="AJ78" s="129"/>
      <c r="AK78" s="129"/>
      <c r="AL78" s="129"/>
      <c r="AM78" s="129"/>
      <c r="AN78" s="129"/>
      <c r="AO78" s="129"/>
      <c r="AP78" s="129"/>
      <c r="AQ78" s="129"/>
      <c r="AR78" s="129"/>
      <c r="AS78" s="129"/>
      <c r="AT78" s="129"/>
      <c r="AU78" s="129"/>
      <c r="AV78" s="129"/>
      <c r="AW78" s="129"/>
      <c r="AX78" s="129"/>
      <c r="AY78" s="129"/>
      <c r="AZ78" s="129"/>
      <c r="BA78" s="129"/>
      <c r="BB78" s="129"/>
      <c r="BC78" s="129"/>
      <c r="BD78" s="129"/>
      <c r="BE78" s="129"/>
      <c r="BF78" s="129"/>
      <c r="BG78" s="129"/>
      <c r="BH78" s="129"/>
      <c r="BI78" s="129"/>
      <c r="BJ78" s="129"/>
      <c r="BK78" s="129"/>
      <c r="BL78" s="129"/>
      <c r="BM78" s="129"/>
      <c r="BN78" s="129"/>
      <c r="BO78" s="129"/>
      <c r="BP78" s="129"/>
      <c r="BQ78" s="129"/>
      <c r="BR78" s="129"/>
      <c r="BS78" s="129"/>
      <c r="BT78" s="129"/>
      <c r="BU78" s="129"/>
      <c r="BV78" s="129"/>
      <c r="BW78" s="129"/>
      <c r="BX78" s="129"/>
      <c r="BY78" s="129"/>
      <c r="BZ78" s="129"/>
      <c r="CA78" s="129"/>
      <c r="CB78" s="129"/>
      <c r="CC78" s="129"/>
      <c r="CD78" s="129"/>
      <c r="CE78" s="129"/>
      <c r="CF78" s="129"/>
      <c r="CG78" s="129"/>
      <c r="CH78" s="129"/>
    </row>
    <row r="79" spans="21:86" ht="15.75" x14ac:dyDescent="0.25">
      <c r="U79" s="149"/>
      <c r="V79" s="149"/>
      <c r="W79" s="124"/>
      <c r="X79" s="124"/>
      <c r="Y79" s="124"/>
      <c r="Z79" s="129"/>
      <c r="AA79" s="129"/>
      <c r="AB79" s="129"/>
      <c r="AC79" s="129"/>
      <c r="AD79" s="129"/>
      <c r="AE79" s="129"/>
      <c r="AF79" s="129"/>
      <c r="AG79" s="129"/>
      <c r="AH79" s="129"/>
      <c r="AI79" s="129"/>
      <c r="AJ79" s="129"/>
      <c r="AK79" s="129"/>
      <c r="AL79" s="129"/>
      <c r="AM79" s="129"/>
      <c r="AN79" s="129"/>
      <c r="AO79" s="129"/>
      <c r="AP79" s="129"/>
      <c r="AQ79" s="129"/>
      <c r="AR79" s="129"/>
      <c r="AS79" s="129"/>
      <c r="AT79" s="129"/>
      <c r="AU79" s="129"/>
      <c r="AV79" s="129"/>
      <c r="AW79" s="129"/>
      <c r="AX79" s="129"/>
      <c r="AY79" s="129"/>
      <c r="AZ79" s="129"/>
      <c r="BA79" s="129"/>
      <c r="BB79" s="129"/>
      <c r="BC79" s="129"/>
      <c r="BD79" s="129"/>
      <c r="BE79" s="129"/>
      <c r="BF79" s="129"/>
      <c r="BG79" s="129"/>
      <c r="BH79" s="129"/>
      <c r="BI79" s="129"/>
      <c r="BJ79" s="129"/>
      <c r="BK79" s="129"/>
      <c r="BL79" s="129"/>
      <c r="BM79" s="129"/>
      <c r="BN79" s="129"/>
      <c r="BO79" s="129"/>
      <c r="BP79" s="129"/>
      <c r="BQ79" s="129"/>
      <c r="BR79" s="129"/>
      <c r="BS79" s="129"/>
      <c r="BT79" s="129"/>
      <c r="BU79" s="129"/>
      <c r="BV79" s="129"/>
      <c r="BW79" s="129"/>
      <c r="BX79" s="129"/>
      <c r="BY79" s="129"/>
      <c r="BZ79" s="129"/>
      <c r="CA79" s="129"/>
      <c r="CB79" s="129"/>
      <c r="CC79" s="129"/>
      <c r="CD79" s="129"/>
      <c r="CE79" s="129"/>
      <c r="CF79" s="129"/>
      <c r="CG79" s="129"/>
      <c r="CH79" s="129"/>
    </row>
    <row r="80" spans="21:86" ht="15.75" x14ac:dyDescent="0.25">
      <c r="U80" s="149"/>
      <c r="V80" s="149"/>
      <c r="W80" s="124"/>
      <c r="X80" s="124"/>
      <c r="Y80" s="124"/>
      <c r="Z80" s="129"/>
      <c r="AA80" s="129"/>
      <c r="AB80" s="129"/>
      <c r="AC80" s="129"/>
      <c r="AD80" s="129"/>
      <c r="AE80" s="129"/>
      <c r="AF80" s="129"/>
      <c r="AG80" s="129"/>
      <c r="AH80" s="129"/>
      <c r="AI80" s="129"/>
      <c r="AJ80" s="129"/>
      <c r="AK80" s="129"/>
      <c r="AL80" s="129"/>
      <c r="AM80" s="129"/>
      <c r="AN80" s="129"/>
      <c r="AO80" s="129"/>
      <c r="AP80" s="129"/>
      <c r="AQ80" s="129"/>
      <c r="AR80" s="129"/>
      <c r="AS80" s="129"/>
      <c r="AT80" s="129"/>
      <c r="AU80" s="129"/>
      <c r="AV80" s="129"/>
      <c r="AW80" s="129"/>
      <c r="AX80" s="129"/>
      <c r="AY80" s="129"/>
      <c r="AZ80" s="129"/>
      <c r="BA80" s="129"/>
      <c r="BB80" s="129"/>
      <c r="BC80" s="129"/>
      <c r="BD80" s="129"/>
      <c r="BE80" s="129"/>
      <c r="BF80" s="129"/>
      <c r="BG80" s="129"/>
      <c r="BH80" s="129"/>
      <c r="BI80" s="129"/>
      <c r="BJ80" s="129"/>
      <c r="BK80" s="129"/>
      <c r="BL80" s="129"/>
      <c r="BM80" s="129"/>
      <c r="BN80" s="129"/>
      <c r="BO80" s="129"/>
      <c r="BP80" s="129"/>
      <c r="BQ80" s="129"/>
      <c r="BR80" s="129"/>
      <c r="BS80" s="129"/>
      <c r="BT80" s="129"/>
      <c r="BU80" s="129"/>
      <c r="BV80" s="129"/>
      <c r="BW80" s="129"/>
      <c r="BX80" s="129"/>
      <c r="BY80" s="129"/>
      <c r="BZ80" s="129"/>
      <c r="CA80" s="129"/>
      <c r="CB80" s="129"/>
      <c r="CC80" s="129"/>
      <c r="CD80" s="129"/>
      <c r="CE80" s="129"/>
      <c r="CF80" s="129"/>
      <c r="CG80" s="129"/>
      <c r="CH80" s="129"/>
    </row>
    <row r="81" spans="21:86" ht="15.75" x14ac:dyDescent="0.25">
      <c r="U81" s="149"/>
      <c r="V81" s="149"/>
      <c r="W81" s="124"/>
      <c r="X81" s="124"/>
      <c r="Y81" s="123"/>
      <c r="Z81" s="129"/>
      <c r="AA81" s="129"/>
      <c r="AB81" s="129"/>
      <c r="AC81" s="129"/>
      <c r="AD81" s="129"/>
      <c r="AE81" s="129"/>
      <c r="AF81" s="129"/>
      <c r="AG81" s="129"/>
      <c r="AH81" s="129"/>
      <c r="AI81" s="129"/>
      <c r="AJ81" s="129"/>
      <c r="AK81" s="129"/>
      <c r="AL81" s="129"/>
      <c r="AM81" s="129"/>
      <c r="AN81" s="129"/>
      <c r="AO81" s="129"/>
      <c r="AP81" s="129"/>
      <c r="AQ81" s="129"/>
      <c r="AR81" s="129"/>
      <c r="AS81" s="129"/>
      <c r="AT81" s="129"/>
      <c r="AU81" s="129"/>
      <c r="AV81" s="129"/>
      <c r="AW81" s="129"/>
      <c r="AX81" s="129"/>
      <c r="AY81" s="129"/>
      <c r="AZ81" s="129"/>
      <c r="BA81" s="129"/>
      <c r="BB81" s="129"/>
      <c r="BC81" s="129"/>
      <c r="BD81" s="129"/>
      <c r="BE81" s="129"/>
      <c r="BF81" s="129"/>
      <c r="BG81" s="129"/>
      <c r="BH81" s="129"/>
      <c r="BI81" s="129"/>
      <c r="BJ81" s="129"/>
      <c r="BK81" s="129"/>
      <c r="BL81" s="129"/>
      <c r="BM81" s="129"/>
      <c r="BN81" s="129"/>
      <c r="BO81" s="129"/>
      <c r="BP81" s="129"/>
      <c r="BQ81" s="129"/>
      <c r="BR81" s="129"/>
      <c r="BS81" s="129"/>
      <c r="BT81" s="129"/>
      <c r="BU81" s="129"/>
      <c r="BV81" s="129"/>
      <c r="BW81" s="129"/>
      <c r="BX81" s="129"/>
      <c r="BY81" s="129"/>
      <c r="BZ81" s="129"/>
      <c r="CA81" s="129"/>
      <c r="CB81" s="129"/>
      <c r="CC81" s="129"/>
      <c r="CD81" s="129"/>
      <c r="CE81" s="129"/>
      <c r="CF81" s="129"/>
      <c r="CG81" s="129"/>
      <c r="CH81" s="129"/>
    </row>
    <row r="82" spans="21:86" ht="15.75" x14ac:dyDescent="0.25">
      <c r="U82" s="149"/>
      <c r="V82" s="149"/>
      <c r="W82" s="124"/>
      <c r="X82" s="124"/>
      <c r="Y82" s="123"/>
      <c r="Z82" s="129"/>
      <c r="AA82" s="129"/>
      <c r="AB82" s="129"/>
      <c r="AC82" s="129"/>
      <c r="AD82" s="129"/>
      <c r="AE82" s="129"/>
      <c r="AF82" s="129"/>
      <c r="AG82" s="129"/>
      <c r="AH82" s="129"/>
      <c r="AI82" s="129"/>
      <c r="AJ82" s="129"/>
      <c r="AK82" s="129"/>
      <c r="AL82" s="129"/>
      <c r="AM82" s="129"/>
      <c r="AN82" s="129"/>
      <c r="AO82" s="129"/>
      <c r="AP82" s="129"/>
      <c r="AQ82" s="129"/>
      <c r="AR82" s="129"/>
      <c r="AS82" s="129"/>
      <c r="AT82" s="129"/>
      <c r="AU82" s="129"/>
      <c r="AV82" s="129"/>
      <c r="AW82" s="129"/>
      <c r="AX82" s="129"/>
      <c r="AY82" s="129"/>
      <c r="AZ82" s="129"/>
      <c r="BA82" s="129"/>
      <c r="BB82" s="129"/>
      <c r="BC82" s="129"/>
      <c r="BD82" s="129"/>
      <c r="BE82" s="129"/>
      <c r="BF82" s="129"/>
      <c r="BG82" s="129"/>
      <c r="BH82" s="129"/>
      <c r="BI82" s="129"/>
      <c r="BJ82" s="129"/>
      <c r="BK82" s="129"/>
      <c r="BL82" s="129"/>
      <c r="BM82" s="129"/>
      <c r="BN82" s="129"/>
      <c r="BO82" s="129"/>
      <c r="BP82" s="129"/>
      <c r="BQ82" s="129"/>
      <c r="BR82" s="129"/>
      <c r="BS82" s="129"/>
      <c r="BT82" s="129"/>
      <c r="BU82" s="129"/>
      <c r="BV82" s="129"/>
      <c r="BW82" s="129"/>
      <c r="BX82" s="129"/>
      <c r="BY82" s="129"/>
      <c r="BZ82" s="129"/>
      <c r="CA82" s="129"/>
      <c r="CB82" s="129"/>
      <c r="CC82" s="129"/>
      <c r="CD82" s="129"/>
      <c r="CE82" s="129"/>
      <c r="CF82" s="129"/>
      <c r="CG82" s="129"/>
      <c r="CH82" s="129"/>
    </row>
    <row r="83" spans="21:86" ht="15.75" x14ac:dyDescent="0.25">
      <c r="U83" s="149"/>
      <c r="V83" s="149"/>
      <c r="W83" s="124"/>
      <c r="X83" s="124"/>
      <c r="Y83" s="123"/>
      <c r="Z83" s="129"/>
      <c r="AA83" s="129"/>
      <c r="AB83" s="129"/>
      <c r="AC83" s="129"/>
      <c r="AD83" s="129"/>
      <c r="AE83" s="129"/>
      <c r="AF83" s="129"/>
      <c r="AG83" s="129"/>
      <c r="AH83" s="129"/>
      <c r="AI83" s="129"/>
      <c r="AJ83" s="129"/>
      <c r="AK83" s="129"/>
      <c r="AL83" s="129"/>
      <c r="AM83" s="129"/>
      <c r="AN83" s="129"/>
      <c r="AO83" s="129"/>
      <c r="AP83" s="129"/>
      <c r="AQ83" s="129"/>
      <c r="AR83" s="129"/>
      <c r="AS83" s="129"/>
      <c r="AT83" s="129"/>
      <c r="AU83" s="129"/>
      <c r="AV83" s="129"/>
      <c r="AW83" s="129"/>
      <c r="AX83" s="129"/>
      <c r="AY83" s="129"/>
      <c r="AZ83" s="129"/>
      <c r="BA83" s="129"/>
      <c r="BB83" s="129"/>
      <c r="BC83" s="129"/>
      <c r="BD83" s="129"/>
      <c r="BE83" s="129"/>
      <c r="BF83" s="129"/>
      <c r="BG83" s="129"/>
      <c r="BH83" s="129"/>
      <c r="BI83" s="129"/>
      <c r="BJ83" s="129"/>
      <c r="BK83" s="129"/>
      <c r="BL83" s="129"/>
      <c r="BM83" s="129"/>
      <c r="BN83" s="129"/>
      <c r="BO83" s="129"/>
      <c r="BP83" s="129"/>
      <c r="BQ83" s="129"/>
      <c r="BR83" s="129"/>
      <c r="BS83" s="129"/>
      <c r="BT83" s="129"/>
      <c r="BU83" s="129"/>
      <c r="BV83" s="129"/>
      <c r="BW83" s="129"/>
      <c r="BX83" s="129"/>
      <c r="BY83" s="129"/>
      <c r="BZ83" s="129"/>
      <c r="CA83" s="129"/>
      <c r="CB83" s="129"/>
      <c r="CC83" s="129"/>
      <c r="CD83" s="129"/>
      <c r="CE83" s="129"/>
      <c r="CF83" s="129"/>
      <c r="CG83" s="129"/>
      <c r="CH83" s="129"/>
    </row>
    <row r="84" spans="21:86" ht="15.75" x14ac:dyDescent="0.25">
      <c r="U84" s="166"/>
      <c r="V84" s="166"/>
      <c r="W84" s="124"/>
      <c r="X84" s="124"/>
      <c r="Y84" s="123"/>
      <c r="Z84" s="129"/>
      <c r="AA84" s="129"/>
      <c r="AB84" s="129"/>
      <c r="AC84" s="129"/>
      <c r="AD84" s="129"/>
      <c r="AE84" s="129"/>
      <c r="AF84" s="129"/>
      <c r="AG84" s="129"/>
      <c r="AH84" s="129"/>
      <c r="AI84" s="129"/>
      <c r="AJ84" s="129"/>
      <c r="AK84" s="129"/>
      <c r="AL84" s="129"/>
      <c r="AM84" s="129"/>
      <c r="AN84" s="129"/>
      <c r="AO84" s="129"/>
      <c r="AP84" s="129"/>
      <c r="AQ84" s="129"/>
      <c r="AR84" s="129"/>
      <c r="AS84" s="129"/>
      <c r="AT84" s="129"/>
      <c r="AU84" s="129"/>
      <c r="AV84" s="129"/>
      <c r="AW84" s="129"/>
      <c r="AX84" s="129"/>
      <c r="AY84" s="129"/>
      <c r="AZ84" s="129"/>
      <c r="BA84" s="129"/>
      <c r="BB84" s="129"/>
      <c r="BC84" s="129"/>
      <c r="BD84" s="129"/>
      <c r="BE84" s="129"/>
      <c r="BF84" s="129"/>
      <c r="BG84" s="129"/>
      <c r="BH84" s="129"/>
      <c r="BI84" s="129"/>
      <c r="BJ84" s="129"/>
      <c r="BK84" s="129"/>
      <c r="BL84" s="129"/>
      <c r="BM84" s="129"/>
      <c r="BN84" s="129"/>
      <c r="BO84" s="129"/>
      <c r="BP84" s="129"/>
      <c r="BQ84" s="129"/>
      <c r="BR84" s="129"/>
      <c r="BS84" s="129"/>
      <c r="BT84" s="129"/>
      <c r="BU84" s="129"/>
      <c r="BV84" s="129"/>
      <c r="BW84" s="129"/>
      <c r="BX84" s="129"/>
      <c r="BY84" s="129"/>
      <c r="BZ84" s="129"/>
      <c r="CA84" s="129"/>
      <c r="CB84" s="129"/>
      <c r="CC84" s="129"/>
      <c r="CD84" s="129"/>
      <c r="CE84" s="129"/>
      <c r="CF84" s="129"/>
      <c r="CG84" s="129"/>
      <c r="CH84" s="129"/>
    </row>
    <row r="85" spans="21:86" ht="15.75" x14ac:dyDescent="0.25">
      <c r="U85" s="15"/>
      <c r="V85" s="15"/>
      <c r="W85" s="124"/>
      <c r="X85" s="124"/>
      <c r="Y85" s="123"/>
      <c r="Z85" s="129"/>
      <c r="AA85" s="129"/>
      <c r="AB85" s="129"/>
      <c r="AC85" s="129"/>
      <c r="AD85" s="129"/>
      <c r="AE85" s="129"/>
      <c r="AF85" s="129"/>
      <c r="AG85" s="129"/>
      <c r="AH85" s="129"/>
      <c r="AI85" s="129"/>
      <c r="AJ85" s="129"/>
      <c r="AK85" s="129"/>
      <c r="AL85" s="129"/>
      <c r="AM85" s="129"/>
      <c r="AN85" s="129"/>
      <c r="AO85" s="129"/>
      <c r="AP85" s="129"/>
      <c r="AQ85" s="129"/>
      <c r="AR85" s="129"/>
      <c r="AS85" s="129"/>
      <c r="AT85" s="129"/>
      <c r="AU85" s="129"/>
      <c r="AV85" s="129"/>
      <c r="AW85" s="129"/>
      <c r="AX85" s="129"/>
      <c r="AY85" s="129"/>
      <c r="AZ85" s="129"/>
      <c r="BA85" s="129"/>
      <c r="BB85" s="129"/>
      <c r="BC85" s="129"/>
      <c r="BD85" s="129"/>
      <c r="BE85" s="129"/>
      <c r="BF85" s="129"/>
      <c r="BG85" s="129"/>
      <c r="BH85" s="129"/>
      <c r="BI85" s="129"/>
      <c r="BJ85" s="129"/>
      <c r="BK85" s="129"/>
      <c r="BL85" s="129"/>
      <c r="BM85" s="129"/>
      <c r="BN85" s="129"/>
      <c r="BO85" s="129"/>
      <c r="BP85" s="129"/>
      <c r="BQ85" s="129"/>
      <c r="BR85" s="129"/>
      <c r="BS85" s="129"/>
      <c r="BT85" s="129"/>
      <c r="BU85" s="129"/>
      <c r="BV85" s="129"/>
      <c r="BW85" s="129"/>
      <c r="BX85" s="129"/>
      <c r="BY85" s="129"/>
      <c r="BZ85" s="129"/>
      <c r="CA85" s="129"/>
      <c r="CB85" s="129"/>
      <c r="CC85" s="129"/>
      <c r="CD85" s="129"/>
      <c r="CE85" s="129"/>
      <c r="CF85" s="129"/>
      <c r="CG85" s="129"/>
      <c r="CH85" s="129"/>
    </row>
    <row r="86" spans="21:86" ht="15.75" x14ac:dyDescent="0.25">
      <c r="U86" s="15"/>
      <c r="V86" s="15"/>
      <c r="W86" s="124"/>
      <c r="X86" s="124"/>
      <c r="Y86" s="124"/>
      <c r="Z86" s="240"/>
      <c r="AA86" s="240"/>
      <c r="AB86" s="240"/>
      <c r="AC86" s="240"/>
      <c r="AD86" s="240"/>
      <c r="AE86" s="240"/>
      <c r="AF86" s="240"/>
      <c r="AG86" s="240"/>
      <c r="AH86" s="240"/>
      <c r="AI86" s="240"/>
      <c r="AJ86" s="240"/>
      <c r="AK86" s="240"/>
      <c r="AL86" s="240"/>
      <c r="AM86" s="240"/>
      <c r="AN86" s="240"/>
      <c r="AO86" s="240"/>
      <c r="AP86" s="240"/>
      <c r="AQ86" s="240"/>
      <c r="AR86" s="240"/>
      <c r="AS86" s="240"/>
      <c r="AT86" s="240"/>
      <c r="AU86" s="240"/>
      <c r="AV86" s="240"/>
      <c r="AW86" s="240"/>
      <c r="AX86" s="240"/>
      <c r="AY86" s="240"/>
      <c r="AZ86" s="240"/>
      <c r="BA86" s="240"/>
      <c r="BB86" s="240"/>
      <c r="BC86" s="240"/>
      <c r="BD86" s="240"/>
      <c r="BE86" s="240"/>
      <c r="BF86" s="240"/>
      <c r="BG86" s="240"/>
      <c r="BH86" s="240"/>
      <c r="BI86" s="240"/>
      <c r="BJ86" s="240"/>
      <c r="BK86" s="240"/>
      <c r="BL86" s="240"/>
      <c r="BM86" s="240"/>
      <c r="BN86" s="240"/>
      <c r="BO86" s="240"/>
      <c r="BP86" s="240"/>
      <c r="BQ86" s="240"/>
      <c r="BR86" s="240"/>
      <c r="BS86" s="240"/>
      <c r="BT86" s="240"/>
      <c r="BU86" s="240"/>
      <c r="BV86" s="240"/>
      <c r="BW86" s="240"/>
      <c r="BX86" s="240"/>
      <c r="BY86" s="240"/>
      <c r="BZ86" s="240"/>
      <c r="CA86" s="240"/>
      <c r="CB86" s="240"/>
      <c r="CC86" s="240"/>
      <c r="CD86" s="240"/>
      <c r="CE86" s="240"/>
      <c r="CF86" s="240"/>
      <c r="CG86" s="240"/>
      <c r="CH86" s="240"/>
    </row>
    <row r="87" spans="21:86" ht="15.75" x14ac:dyDescent="0.25">
      <c r="U87" s="15"/>
      <c r="V87" s="15"/>
      <c r="W87" s="124"/>
      <c r="X87" s="124"/>
      <c r="Y87" s="123"/>
      <c r="Z87" s="129"/>
      <c r="AA87" s="129"/>
      <c r="AB87" s="129"/>
      <c r="AC87" s="129"/>
      <c r="AD87" s="129"/>
      <c r="AE87" s="129"/>
      <c r="AF87" s="129"/>
      <c r="AG87" s="129"/>
      <c r="AH87" s="129"/>
      <c r="AI87" s="129"/>
      <c r="AJ87" s="129"/>
      <c r="AK87" s="129"/>
      <c r="AL87" s="129"/>
      <c r="AM87" s="129"/>
      <c r="AN87" s="129"/>
      <c r="AO87" s="129"/>
      <c r="AP87" s="129"/>
      <c r="AQ87" s="129"/>
      <c r="AR87" s="129"/>
      <c r="AS87" s="129"/>
      <c r="AT87" s="129"/>
      <c r="AU87" s="129"/>
      <c r="AV87" s="129"/>
      <c r="AW87" s="129"/>
      <c r="AX87" s="129"/>
      <c r="AY87" s="129"/>
      <c r="AZ87" s="129"/>
      <c r="BA87" s="129"/>
      <c r="BB87" s="129"/>
      <c r="BC87" s="129"/>
      <c r="BD87" s="129"/>
      <c r="BE87" s="129"/>
      <c r="BF87" s="129"/>
      <c r="BG87" s="129"/>
      <c r="BH87" s="129"/>
      <c r="BI87" s="129"/>
      <c r="BJ87" s="129"/>
      <c r="BK87" s="129"/>
      <c r="BL87" s="129"/>
      <c r="BM87" s="129"/>
      <c r="BN87" s="129"/>
      <c r="BO87" s="129"/>
      <c r="BP87" s="129"/>
      <c r="BQ87" s="129"/>
      <c r="BR87" s="129"/>
      <c r="BS87" s="129"/>
      <c r="BT87" s="129"/>
      <c r="BU87" s="129"/>
      <c r="BV87" s="129"/>
      <c r="BW87" s="129"/>
      <c r="BX87" s="129"/>
      <c r="BY87" s="129"/>
      <c r="BZ87" s="129"/>
      <c r="CA87" s="129"/>
      <c r="CB87" s="129"/>
      <c r="CC87" s="129"/>
      <c r="CD87" s="129"/>
      <c r="CE87" s="129"/>
      <c r="CF87" s="129"/>
      <c r="CG87" s="129"/>
      <c r="CH87" s="129"/>
    </row>
    <row r="88" spans="21:86" ht="15.75" x14ac:dyDescent="0.25">
      <c r="U88" s="166"/>
      <c r="V88" s="166"/>
      <c r="Z88" s="520"/>
      <c r="AA88" s="520"/>
      <c r="AB88" s="520"/>
      <c r="AC88" s="520"/>
      <c r="AD88" s="520"/>
      <c r="AE88" s="520"/>
      <c r="AF88" s="520"/>
      <c r="AG88" s="520"/>
      <c r="AH88" s="520"/>
      <c r="AI88" s="520"/>
      <c r="AJ88" s="520"/>
      <c r="AK88" s="520"/>
      <c r="AL88" s="520"/>
      <c r="AM88" s="520"/>
      <c r="AN88" s="520"/>
      <c r="AO88" s="520"/>
      <c r="AP88" s="520"/>
      <c r="AQ88" s="520"/>
      <c r="AR88" s="520"/>
      <c r="AS88" s="520"/>
      <c r="AT88" s="520"/>
      <c r="AU88" s="520"/>
      <c r="AV88" s="520"/>
      <c r="AW88" s="520"/>
      <c r="AX88" s="520"/>
      <c r="AY88" s="520"/>
      <c r="AZ88" s="520"/>
      <c r="BA88" s="520"/>
      <c r="BB88" s="520"/>
      <c r="BC88" s="520"/>
      <c r="BD88" s="520"/>
      <c r="BE88" s="520"/>
      <c r="BF88" s="520"/>
      <c r="BG88" s="520"/>
      <c r="BH88" s="520"/>
      <c r="BI88" s="520"/>
      <c r="BJ88" s="520"/>
      <c r="BK88" s="520"/>
      <c r="BL88" s="520"/>
      <c r="BM88" s="520"/>
      <c r="BN88" s="520"/>
      <c r="BO88" s="520"/>
      <c r="BP88" s="520"/>
      <c r="BQ88" s="520"/>
      <c r="BR88" s="520"/>
      <c r="BS88" s="520"/>
      <c r="BT88" s="520"/>
      <c r="BU88" s="520"/>
      <c r="BV88" s="520"/>
      <c r="BW88" s="520"/>
      <c r="BX88" s="520"/>
      <c r="BY88" s="520"/>
      <c r="BZ88" s="520"/>
      <c r="CA88" s="520"/>
      <c r="CB88" s="520"/>
      <c r="CC88" s="520"/>
      <c r="CD88" s="520"/>
      <c r="CE88" s="520"/>
      <c r="CF88" s="520"/>
      <c r="CG88" s="520"/>
      <c r="CH88" s="520"/>
    </row>
    <row r="89" spans="21:86" ht="15.75" x14ac:dyDescent="0.25">
      <c r="U89" s="166"/>
      <c r="V89" s="166"/>
      <c r="Z89" s="520"/>
      <c r="AA89" s="520"/>
      <c r="AB89" s="520"/>
      <c r="AC89" s="520"/>
      <c r="AD89" s="520"/>
      <c r="AE89" s="520"/>
      <c r="AF89" s="520"/>
      <c r="AG89" s="520"/>
      <c r="AH89" s="520"/>
      <c r="AI89" s="520"/>
      <c r="AJ89" s="520"/>
      <c r="AK89" s="520"/>
      <c r="AL89" s="520"/>
      <c r="AM89" s="520"/>
      <c r="AN89" s="520"/>
      <c r="AO89" s="520"/>
      <c r="AP89" s="520"/>
      <c r="AQ89" s="520"/>
      <c r="AR89" s="520"/>
      <c r="AS89" s="520"/>
      <c r="AT89" s="520"/>
      <c r="AU89" s="520"/>
      <c r="AV89" s="520"/>
      <c r="AW89" s="520"/>
      <c r="AX89" s="520"/>
      <c r="AY89" s="520"/>
      <c r="AZ89" s="520"/>
      <c r="BA89" s="520"/>
      <c r="BB89" s="520"/>
      <c r="BC89" s="520"/>
      <c r="BD89" s="520"/>
      <c r="BE89" s="520"/>
      <c r="BF89" s="520"/>
      <c r="BG89" s="520"/>
      <c r="BH89" s="520"/>
      <c r="BI89" s="520"/>
      <c r="BJ89" s="520"/>
      <c r="BK89" s="520"/>
      <c r="BL89" s="520"/>
      <c r="BM89" s="520"/>
      <c r="BN89" s="520"/>
      <c r="BO89" s="520"/>
      <c r="BP89" s="520"/>
      <c r="BQ89" s="520"/>
      <c r="BR89" s="520"/>
      <c r="BS89" s="520"/>
      <c r="BT89" s="520"/>
      <c r="BU89" s="520"/>
      <c r="BV89" s="520"/>
      <c r="BW89" s="520"/>
      <c r="BX89" s="520"/>
      <c r="BY89" s="520"/>
      <c r="BZ89" s="520"/>
      <c r="CA89" s="520"/>
      <c r="CB89" s="520"/>
      <c r="CC89" s="520"/>
      <c r="CD89" s="520"/>
      <c r="CE89" s="520"/>
      <c r="CF89" s="520"/>
      <c r="CG89" s="520"/>
      <c r="CH89" s="520"/>
    </row>
    <row r="91" spans="21:86" ht="15.75" x14ac:dyDescent="0.25">
      <c r="Y91" s="120"/>
      <c r="Z91" s="121"/>
      <c r="AA91" s="121"/>
      <c r="AB91" s="121"/>
      <c r="AC91" s="121"/>
      <c r="AD91" s="121"/>
      <c r="AE91" s="121"/>
      <c r="AF91" s="121"/>
      <c r="AG91" s="121"/>
      <c r="AH91" s="121"/>
      <c r="AI91" s="121"/>
      <c r="AJ91" s="121"/>
      <c r="AK91" s="121"/>
      <c r="AL91" s="121"/>
      <c r="AM91" s="121"/>
      <c r="AN91" s="121"/>
      <c r="AO91" s="121"/>
      <c r="AP91" s="121"/>
      <c r="AQ91" s="121"/>
      <c r="AR91" s="121"/>
      <c r="AS91" s="121"/>
      <c r="AT91" s="121"/>
      <c r="AU91" s="121"/>
      <c r="AV91" s="121"/>
      <c r="AW91" s="121"/>
      <c r="AX91" s="121"/>
      <c r="AY91" s="121"/>
      <c r="AZ91" s="121"/>
      <c r="BA91" s="121"/>
      <c r="BB91" s="121"/>
      <c r="BC91" s="121"/>
      <c r="BD91" s="121"/>
      <c r="BE91" s="121"/>
      <c r="BF91" s="121"/>
      <c r="BG91" s="121"/>
      <c r="BH91" s="121"/>
      <c r="BI91" s="121"/>
      <c r="BJ91" s="121"/>
      <c r="BK91" s="121"/>
      <c r="BL91" s="121"/>
      <c r="BM91" s="121"/>
      <c r="BN91" s="121"/>
      <c r="BO91" s="121"/>
      <c r="BP91" s="121"/>
      <c r="BQ91" s="121"/>
      <c r="BR91" s="121"/>
      <c r="BS91" s="121"/>
      <c r="BT91" s="121"/>
      <c r="BU91" s="121"/>
      <c r="BV91" s="121"/>
      <c r="BW91" s="121"/>
      <c r="BX91" s="121"/>
      <c r="BY91" s="121"/>
      <c r="BZ91" s="121"/>
      <c r="CA91" s="121"/>
      <c r="CB91" s="121"/>
      <c r="CC91" s="121"/>
      <c r="CD91" s="121"/>
      <c r="CE91" s="121"/>
      <c r="CF91" s="121"/>
      <c r="CG91" s="121"/>
      <c r="CH91" s="121"/>
    </row>
    <row r="92" spans="21:86" ht="15.75" x14ac:dyDescent="0.25">
      <c r="Y92" s="120"/>
      <c r="Z92" s="60"/>
      <c r="AA92" s="60"/>
      <c r="AB92" s="60"/>
      <c r="AC92" s="60"/>
      <c r="AD92" s="60"/>
      <c r="AE92" s="60"/>
      <c r="AF92" s="60"/>
      <c r="AG92" s="60"/>
      <c r="AH92" s="60"/>
      <c r="AI92" s="60"/>
      <c r="AJ92" s="60"/>
      <c r="AK92" s="60"/>
      <c r="AL92" s="60"/>
      <c r="AM92" s="60"/>
      <c r="AN92" s="60"/>
      <c r="AO92" s="60"/>
      <c r="AP92" s="60"/>
      <c r="AQ92" s="60"/>
      <c r="AR92" s="60"/>
      <c r="AS92" s="60"/>
      <c r="AT92" s="60"/>
      <c r="AU92" s="60"/>
      <c r="AV92" s="60"/>
      <c r="AW92" s="60"/>
      <c r="AX92" s="60"/>
      <c r="AY92" s="60"/>
      <c r="AZ92" s="60"/>
      <c r="BA92" s="60"/>
      <c r="BB92" s="60"/>
      <c r="BC92" s="60"/>
      <c r="BD92" s="60"/>
      <c r="BE92" s="60"/>
      <c r="BF92" s="60"/>
      <c r="BG92" s="60"/>
      <c r="BH92" s="60"/>
      <c r="BI92" s="60"/>
      <c r="BJ92" s="60"/>
      <c r="BK92" s="60"/>
      <c r="BL92" s="60"/>
      <c r="BM92" s="60"/>
      <c r="BN92" s="60"/>
      <c r="BO92" s="60"/>
      <c r="BP92" s="60"/>
      <c r="BQ92" s="60"/>
      <c r="BR92" s="60"/>
      <c r="BS92" s="60"/>
      <c r="BT92" s="60"/>
      <c r="BU92" s="60"/>
      <c r="BV92" s="60"/>
      <c r="BW92" s="60"/>
      <c r="BX92" s="60"/>
      <c r="BY92" s="60"/>
      <c r="BZ92" s="60"/>
      <c r="CA92" s="60"/>
      <c r="CB92" s="60"/>
      <c r="CC92" s="60"/>
      <c r="CD92" s="60"/>
      <c r="CE92" s="60"/>
      <c r="CF92" s="60"/>
      <c r="CG92" s="60"/>
      <c r="CH92" s="60"/>
    </row>
    <row r="93" spans="21:86" ht="15.75" x14ac:dyDescent="0.25">
      <c r="Y93" s="120"/>
      <c r="Z93" s="60"/>
      <c r="AA93" s="60"/>
      <c r="AB93" s="60"/>
      <c r="AC93" s="60"/>
      <c r="AD93" s="60"/>
      <c r="AE93" s="60"/>
      <c r="AF93" s="60"/>
      <c r="AG93" s="60"/>
      <c r="AH93" s="60"/>
      <c r="AI93" s="60"/>
      <c r="AJ93" s="60"/>
      <c r="AK93" s="60"/>
      <c r="AL93" s="60"/>
      <c r="AM93" s="60"/>
      <c r="AN93" s="60"/>
      <c r="AO93" s="60"/>
      <c r="AP93" s="60"/>
      <c r="AQ93" s="60"/>
      <c r="AR93" s="60"/>
      <c r="AS93" s="60"/>
      <c r="AT93" s="60"/>
      <c r="AU93" s="60"/>
      <c r="AV93" s="60"/>
      <c r="AW93" s="60"/>
      <c r="AX93" s="60"/>
      <c r="AY93" s="60"/>
      <c r="AZ93" s="60"/>
      <c r="BA93" s="60"/>
      <c r="BB93" s="60"/>
      <c r="BC93" s="60"/>
      <c r="BD93" s="60"/>
      <c r="BE93" s="60"/>
      <c r="BF93" s="60"/>
      <c r="BG93" s="60"/>
      <c r="BH93" s="60"/>
      <c r="BI93" s="60"/>
      <c r="BJ93" s="60"/>
      <c r="BK93" s="60"/>
      <c r="BL93" s="60"/>
      <c r="BM93" s="60"/>
      <c r="BN93" s="60"/>
      <c r="BO93" s="60"/>
      <c r="BP93" s="60"/>
      <c r="BQ93" s="60"/>
      <c r="BR93" s="60"/>
      <c r="BS93" s="60"/>
      <c r="BT93" s="60"/>
      <c r="BU93" s="60"/>
      <c r="BV93" s="60"/>
      <c r="BW93" s="60"/>
      <c r="BX93" s="60"/>
      <c r="BY93" s="60"/>
      <c r="BZ93" s="60"/>
      <c r="CA93" s="60"/>
      <c r="CB93" s="60"/>
      <c r="CC93" s="60"/>
      <c r="CD93" s="60"/>
      <c r="CE93" s="60"/>
      <c r="CF93" s="60"/>
      <c r="CG93" s="60"/>
      <c r="CH93" s="60"/>
    </row>
    <row r="94" spans="21:86" ht="15.75" x14ac:dyDescent="0.25">
      <c r="Y94" s="120"/>
      <c r="Z94" s="60"/>
      <c r="AA94" s="60"/>
      <c r="AB94" s="60"/>
      <c r="AC94" s="60"/>
      <c r="AD94" s="60"/>
      <c r="AE94" s="60"/>
      <c r="AF94" s="60"/>
      <c r="AG94" s="60"/>
      <c r="AH94" s="60"/>
      <c r="AI94" s="60"/>
      <c r="AJ94" s="60"/>
      <c r="AK94" s="60"/>
      <c r="AL94" s="60"/>
      <c r="AM94" s="60"/>
      <c r="AN94" s="60"/>
      <c r="AO94" s="60"/>
      <c r="AP94" s="60"/>
      <c r="AQ94" s="60"/>
      <c r="AR94" s="60"/>
      <c r="AS94" s="60"/>
      <c r="AT94" s="60"/>
      <c r="AU94" s="60"/>
      <c r="AV94" s="60"/>
      <c r="AW94" s="60"/>
      <c r="AX94" s="60"/>
      <c r="AY94" s="60"/>
      <c r="AZ94" s="60"/>
      <c r="BA94" s="60"/>
      <c r="BB94" s="60"/>
      <c r="BC94" s="60"/>
      <c r="BD94" s="60"/>
      <c r="BE94" s="60"/>
      <c r="BF94" s="60"/>
      <c r="BG94" s="60"/>
      <c r="BH94" s="60"/>
      <c r="BI94" s="60"/>
      <c r="BJ94" s="60"/>
      <c r="BK94" s="60"/>
      <c r="BL94" s="60"/>
      <c r="BM94" s="60"/>
      <c r="BN94" s="60"/>
      <c r="BO94" s="60"/>
      <c r="BP94" s="60"/>
      <c r="BQ94" s="60"/>
      <c r="BR94" s="60"/>
      <c r="BS94" s="60"/>
      <c r="BT94" s="60"/>
      <c r="BU94" s="60"/>
      <c r="BV94" s="60"/>
      <c r="BW94" s="60"/>
      <c r="BX94" s="60"/>
      <c r="BY94" s="60"/>
      <c r="BZ94" s="60"/>
      <c r="CA94" s="60"/>
      <c r="CB94" s="60"/>
      <c r="CC94" s="60"/>
      <c r="CD94" s="60"/>
      <c r="CE94" s="60"/>
      <c r="CF94" s="60"/>
      <c r="CG94" s="60"/>
      <c r="CH94" s="60"/>
    </row>
    <row r="95" spans="21:86" ht="15.75" x14ac:dyDescent="0.25">
      <c r="Y95" s="120"/>
      <c r="Z95" s="519"/>
      <c r="AA95" s="519"/>
      <c r="AB95" s="519"/>
      <c r="AC95" s="519"/>
      <c r="AD95" s="519"/>
      <c r="AE95" s="519"/>
      <c r="AF95" s="519"/>
      <c r="AG95" s="519"/>
      <c r="AH95" s="519"/>
      <c r="AI95" s="519"/>
      <c r="AJ95" s="519"/>
      <c r="AK95" s="519"/>
      <c r="AL95" s="519"/>
      <c r="AM95" s="519"/>
      <c r="AN95" s="519"/>
      <c r="AO95" s="519"/>
      <c r="AP95" s="519"/>
      <c r="AQ95" s="519"/>
      <c r="AR95" s="519"/>
      <c r="AS95" s="519"/>
      <c r="AT95" s="519"/>
      <c r="AU95" s="519"/>
      <c r="AV95" s="519"/>
      <c r="AW95" s="519"/>
      <c r="AX95" s="519"/>
      <c r="AY95" s="519"/>
      <c r="AZ95" s="519"/>
      <c r="BA95" s="519"/>
      <c r="BB95" s="519"/>
      <c r="BC95" s="519"/>
      <c r="BD95" s="519"/>
      <c r="BE95" s="519"/>
      <c r="BF95" s="519"/>
      <c r="BG95" s="519"/>
      <c r="BH95" s="519"/>
      <c r="BI95" s="519"/>
      <c r="BJ95" s="519"/>
      <c r="BK95" s="519"/>
      <c r="BL95" s="519"/>
      <c r="BM95" s="519"/>
      <c r="BN95" s="519"/>
      <c r="BO95" s="519"/>
      <c r="BP95" s="519"/>
      <c r="BQ95" s="519"/>
      <c r="BR95" s="519"/>
      <c r="BS95" s="519"/>
      <c r="BT95" s="519"/>
      <c r="BU95" s="519"/>
      <c r="BV95" s="519"/>
      <c r="BW95" s="519"/>
      <c r="BX95" s="519"/>
      <c r="BY95" s="519"/>
      <c r="BZ95" s="519"/>
      <c r="CA95" s="519"/>
      <c r="CB95" s="519"/>
      <c r="CC95" s="519"/>
      <c r="CD95" s="519"/>
      <c r="CE95" s="519"/>
      <c r="CF95" s="519"/>
      <c r="CG95" s="519"/>
      <c r="CH95" s="519"/>
    </row>
    <row r="96" spans="21:86" ht="15.75" x14ac:dyDescent="0.25">
      <c r="U96" s="166"/>
      <c r="V96" s="166"/>
      <c r="X96" s="124"/>
      <c r="Y96" s="120"/>
      <c r="Z96" s="519"/>
      <c r="AA96" s="519"/>
      <c r="AB96" s="519"/>
      <c r="AC96" s="519"/>
      <c r="AD96" s="519"/>
      <c r="AE96" s="519"/>
      <c r="AF96" s="519"/>
      <c r="AG96" s="519"/>
      <c r="AH96" s="519"/>
      <c r="AI96" s="519"/>
      <c r="AJ96" s="519"/>
      <c r="AK96" s="519"/>
      <c r="AL96" s="519"/>
      <c r="AM96" s="519"/>
      <c r="AN96" s="519"/>
      <c r="AO96" s="519"/>
      <c r="AP96" s="519"/>
      <c r="AQ96" s="519"/>
      <c r="AR96" s="519"/>
      <c r="AS96" s="519"/>
      <c r="AT96" s="519"/>
      <c r="AU96" s="519"/>
      <c r="AV96" s="519"/>
      <c r="AW96" s="519"/>
      <c r="AX96" s="519"/>
      <c r="AY96" s="519"/>
      <c r="AZ96" s="519"/>
      <c r="BA96" s="519"/>
      <c r="BB96" s="519"/>
      <c r="BC96" s="519"/>
      <c r="BD96" s="519"/>
      <c r="BE96" s="519"/>
      <c r="BF96" s="519"/>
      <c r="BG96" s="519"/>
      <c r="BH96" s="519"/>
      <c r="BI96" s="519"/>
      <c r="BJ96" s="519"/>
      <c r="BK96" s="519"/>
      <c r="BL96" s="519"/>
      <c r="BM96" s="519"/>
      <c r="BN96" s="519"/>
      <c r="BO96" s="519"/>
      <c r="BP96" s="519"/>
      <c r="BQ96" s="519"/>
      <c r="BR96" s="519"/>
      <c r="BS96" s="519"/>
      <c r="BT96" s="519"/>
      <c r="BU96" s="519"/>
      <c r="BV96" s="519"/>
      <c r="BW96" s="519"/>
      <c r="BX96" s="519"/>
      <c r="BY96" s="519"/>
      <c r="BZ96" s="519"/>
      <c r="CA96" s="519"/>
      <c r="CB96" s="519"/>
      <c r="CC96" s="519"/>
      <c r="CD96" s="519"/>
      <c r="CE96" s="519"/>
      <c r="CF96" s="519"/>
      <c r="CG96" s="519"/>
      <c r="CH96" s="519"/>
    </row>
    <row r="97" spans="21:86" ht="15.75" x14ac:dyDescent="0.25">
      <c r="U97" s="166"/>
      <c r="V97" s="166"/>
      <c r="X97" s="124"/>
      <c r="Y97" s="120"/>
      <c r="Z97" s="519"/>
      <c r="AA97" s="519"/>
      <c r="AB97" s="519"/>
      <c r="AC97" s="519"/>
      <c r="AD97" s="519"/>
      <c r="AE97" s="519"/>
      <c r="AF97" s="519"/>
      <c r="AG97" s="519"/>
      <c r="AH97" s="519"/>
      <c r="AI97" s="519"/>
      <c r="AJ97" s="519"/>
      <c r="AK97" s="519"/>
      <c r="AL97" s="519"/>
      <c r="AM97" s="519"/>
      <c r="AN97" s="519"/>
      <c r="AO97" s="519"/>
      <c r="AP97" s="519"/>
      <c r="AQ97" s="519"/>
      <c r="AR97" s="519"/>
      <c r="AS97" s="519"/>
      <c r="AT97" s="519"/>
      <c r="AU97" s="519"/>
      <c r="AV97" s="519"/>
      <c r="AW97" s="519"/>
      <c r="AX97" s="519"/>
      <c r="AY97" s="519"/>
      <c r="AZ97" s="519"/>
      <c r="BA97" s="519"/>
      <c r="BB97" s="519"/>
      <c r="BC97" s="519"/>
      <c r="BD97" s="519"/>
      <c r="BE97" s="519"/>
      <c r="BF97" s="519"/>
      <c r="BG97" s="519"/>
      <c r="BH97" s="519"/>
      <c r="BI97" s="519"/>
      <c r="BJ97" s="519"/>
      <c r="BK97" s="519"/>
      <c r="BL97" s="519"/>
      <c r="BM97" s="519"/>
      <c r="BN97" s="519"/>
      <c r="BO97" s="519"/>
      <c r="BP97" s="519"/>
      <c r="BQ97" s="519"/>
      <c r="BR97" s="519"/>
      <c r="BS97" s="519"/>
      <c r="BT97" s="519"/>
      <c r="BU97" s="519"/>
      <c r="BV97" s="519"/>
      <c r="BW97" s="519"/>
      <c r="BX97" s="519"/>
      <c r="BY97" s="519"/>
      <c r="BZ97" s="519"/>
      <c r="CA97" s="519"/>
      <c r="CB97" s="519"/>
      <c r="CC97" s="519"/>
      <c r="CD97" s="519"/>
      <c r="CE97" s="519"/>
      <c r="CF97" s="519"/>
      <c r="CG97" s="519"/>
      <c r="CH97" s="519"/>
    </row>
    <row r="98" spans="21:86" ht="15.75" x14ac:dyDescent="0.25">
      <c r="Y98" s="120"/>
      <c r="Z98" s="60"/>
      <c r="AA98" s="60"/>
      <c r="AB98" s="60"/>
      <c r="AC98" s="60"/>
      <c r="AD98" s="60"/>
      <c r="AE98" s="60"/>
      <c r="AF98" s="60"/>
      <c r="AG98" s="60"/>
      <c r="AH98" s="60"/>
      <c r="AI98" s="60"/>
      <c r="AJ98" s="60"/>
      <c r="AK98" s="60"/>
      <c r="AL98" s="60"/>
      <c r="AM98" s="60"/>
      <c r="AN98" s="60"/>
      <c r="AO98" s="60"/>
      <c r="AP98" s="60"/>
      <c r="AQ98" s="60"/>
      <c r="AR98" s="60"/>
      <c r="AS98" s="60"/>
      <c r="AT98" s="60"/>
      <c r="AU98" s="60"/>
      <c r="AV98" s="60"/>
      <c r="AW98" s="60"/>
      <c r="AX98" s="60"/>
      <c r="AY98" s="60"/>
      <c r="AZ98" s="60"/>
      <c r="BA98" s="60"/>
      <c r="BB98" s="60"/>
      <c r="BC98" s="60"/>
      <c r="BD98" s="60"/>
      <c r="BE98" s="60"/>
      <c r="BF98" s="60"/>
      <c r="BG98" s="60"/>
      <c r="BH98" s="60"/>
      <c r="BI98" s="60"/>
      <c r="BJ98" s="60"/>
      <c r="BK98" s="60"/>
      <c r="BL98" s="60"/>
      <c r="BM98" s="60"/>
      <c r="BN98" s="60"/>
      <c r="BO98" s="60"/>
      <c r="BP98" s="60"/>
      <c r="BQ98" s="60"/>
      <c r="BR98" s="60"/>
      <c r="BS98" s="60"/>
      <c r="BT98" s="60"/>
      <c r="BU98" s="60"/>
      <c r="BV98" s="60"/>
      <c r="BW98" s="60"/>
      <c r="BX98" s="60"/>
      <c r="BY98" s="60"/>
      <c r="BZ98" s="60"/>
      <c r="CA98" s="60"/>
      <c r="CB98" s="60"/>
      <c r="CC98" s="60"/>
      <c r="CD98" s="60"/>
      <c r="CE98" s="60"/>
      <c r="CF98" s="60"/>
      <c r="CG98" s="60"/>
      <c r="CH98" s="60"/>
    </row>
    <row r="99" spans="21:86" ht="15.75" x14ac:dyDescent="0.25">
      <c r="Y99" s="120"/>
      <c r="Z99" s="519"/>
      <c r="AA99" s="519"/>
      <c r="AB99" s="519"/>
      <c r="AC99" s="519"/>
      <c r="AD99" s="519"/>
      <c r="AE99" s="519"/>
      <c r="AF99" s="519"/>
      <c r="AG99" s="519"/>
      <c r="AH99" s="519"/>
      <c r="AI99" s="519"/>
      <c r="AJ99" s="519"/>
      <c r="AK99" s="519"/>
      <c r="AL99" s="519"/>
      <c r="AM99" s="519"/>
      <c r="AN99" s="519"/>
      <c r="AO99" s="519"/>
      <c r="AP99" s="519"/>
      <c r="AQ99" s="519"/>
      <c r="AR99" s="519"/>
      <c r="AS99" s="519"/>
      <c r="AT99" s="519"/>
      <c r="AU99" s="519"/>
      <c r="AV99" s="519"/>
      <c r="AW99" s="519"/>
      <c r="AX99" s="519"/>
      <c r="AY99" s="519"/>
      <c r="AZ99" s="519"/>
      <c r="BA99" s="519"/>
      <c r="BB99" s="519"/>
      <c r="BC99" s="519"/>
      <c r="BD99" s="519"/>
      <c r="BE99" s="519"/>
      <c r="BF99" s="519"/>
      <c r="BG99" s="519"/>
      <c r="BH99" s="519"/>
      <c r="BI99" s="519"/>
      <c r="BJ99" s="519"/>
      <c r="BK99" s="519"/>
      <c r="BL99" s="519"/>
      <c r="BM99" s="519"/>
      <c r="BN99" s="519"/>
      <c r="BO99" s="519"/>
      <c r="BP99" s="519"/>
      <c r="BQ99" s="519"/>
      <c r="BR99" s="519"/>
      <c r="BS99" s="519"/>
      <c r="BT99" s="519"/>
      <c r="BU99" s="519"/>
      <c r="BV99" s="519"/>
      <c r="BW99" s="519"/>
      <c r="BX99" s="519"/>
      <c r="BY99" s="519"/>
      <c r="BZ99" s="519"/>
      <c r="CA99" s="519"/>
      <c r="CB99" s="519"/>
      <c r="CC99" s="519"/>
      <c r="CD99" s="519"/>
      <c r="CE99" s="519"/>
      <c r="CF99" s="519"/>
      <c r="CG99" s="519"/>
      <c r="CH99" s="519"/>
    </row>
    <row r="100" spans="21:86" ht="15.75" x14ac:dyDescent="0.25">
      <c r="Y100" s="120"/>
      <c r="Z100" s="519"/>
      <c r="AA100" s="519"/>
      <c r="AB100" s="519"/>
      <c r="AC100" s="519"/>
      <c r="AD100" s="519"/>
      <c r="AE100" s="519"/>
      <c r="AF100" s="519"/>
      <c r="AG100" s="519"/>
      <c r="AH100" s="519"/>
      <c r="AI100" s="519"/>
      <c r="AJ100" s="519"/>
      <c r="AK100" s="519"/>
      <c r="AL100" s="519"/>
      <c r="AM100" s="519"/>
      <c r="AN100" s="519"/>
      <c r="AO100" s="519"/>
      <c r="AP100" s="519"/>
      <c r="AQ100" s="519"/>
      <c r="AR100" s="519"/>
      <c r="AS100" s="519"/>
      <c r="AT100" s="519"/>
      <c r="AU100" s="519"/>
      <c r="AV100" s="519"/>
      <c r="AW100" s="519"/>
      <c r="AX100" s="519"/>
      <c r="AY100" s="519"/>
      <c r="AZ100" s="519"/>
      <c r="BA100" s="519"/>
      <c r="BB100" s="519"/>
      <c r="BC100" s="519"/>
      <c r="BD100" s="519"/>
      <c r="BE100" s="519"/>
      <c r="BF100" s="519"/>
      <c r="BG100" s="519"/>
      <c r="BH100" s="519"/>
      <c r="BI100" s="519"/>
      <c r="BJ100" s="519"/>
      <c r="BK100" s="519"/>
      <c r="BL100" s="519"/>
      <c r="BM100" s="519"/>
      <c r="BN100" s="519"/>
      <c r="BO100" s="519"/>
      <c r="BP100" s="519"/>
      <c r="BQ100" s="519"/>
      <c r="BR100" s="519"/>
      <c r="BS100" s="519"/>
      <c r="BT100" s="519"/>
      <c r="BU100" s="519"/>
      <c r="BV100" s="519"/>
      <c r="BW100" s="519"/>
      <c r="BX100" s="519"/>
      <c r="BY100" s="519"/>
      <c r="BZ100" s="519"/>
      <c r="CA100" s="519"/>
      <c r="CB100" s="519"/>
      <c r="CC100" s="519"/>
      <c r="CD100" s="519"/>
      <c r="CE100" s="519"/>
      <c r="CF100" s="519"/>
      <c r="CG100" s="519"/>
      <c r="CH100" s="519"/>
    </row>
    <row r="101" spans="21:86" ht="15.75" x14ac:dyDescent="0.25">
      <c r="Y101" s="120"/>
      <c r="Z101" s="519"/>
      <c r="AA101" s="519"/>
      <c r="AB101" s="519"/>
      <c r="AC101" s="519"/>
      <c r="AD101" s="519"/>
      <c r="AE101" s="519"/>
      <c r="AF101" s="519"/>
      <c r="AG101" s="519"/>
      <c r="AH101" s="519"/>
      <c r="AI101" s="519"/>
      <c r="AJ101" s="519"/>
      <c r="AK101" s="519"/>
      <c r="AL101" s="519"/>
      <c r="AM101" s="519"/>
      <c r="AN101" s="519"/>
      <c r="AO101" s="519"/>
      <c r="AP101" s="519"/>
      <c r="AQ101" s="519"/>
      <c r="AR101" s="519"/>
      <c r="AS101" s="519"/>
      <c r="AT101" s="519"/>
      <c r="AU101" s="519"/>
      <c r="AV101" s="519"/>
      <c r="AW101" s="519"/>
      <c r="AX101" s="519"/>
      <c r="AY101" s="519"/>
      <c r="AZ101" s="519"/>
      <c r="BA101" s="519"/>
      <c r="BB101" s="519"/>
      <c r="BC101" s="519"/>
      <c r="BD101" s="519"/>
      <c r="BE101" s="519"/>
      <c r="BF101" s="519"/>
      <c r="BG101" s="519"/>
      <c r="BH101" s="519"/>
      <c r="BI101" s="519"/>
      <c r="BJ101" s="519"/>
      <c r="BK101" s="519"/>
      <c r="BL101" s="519"/>
      <c r="BM101" s="519"/>
      <c r="BN101" s="519"/>
      <c r="BO101" s="519"/>
      <c r="BP101" s="519"/>
      <c r="BQ101" s="519"/>
      <c r="BR101" s="519"/>
      <c r="BS101" s="519"/>
      <c r="BT101" s="519"/>
      <c r="BU101" s="519"/>
      <c r="BV101" s="519"/>
      <c r="BW101" s="519"/>
      <c r="BX101" s="519"/>
      <c r="BY101" s="519"/>
      <c r="BZ101" s="519"/>
      <c r="CA101" s="519"/>
      <c r="CB101" s="519"/>
      <c r="CC101" s="519"/>
      <c r="CD101" s="519"/>
      <c r="CE101" s="519"/>
      <c r="CF101" s="519"/>
      <c r="CG101" s="519"/>
      <c r="CH101" s="519"/>
    </row>
    <row r="102" spans="21:86" ht="15.75" x14ac:dyDescent="0.25">
      <c r="Y102" s="120"/>
      <c r="Z102" s="519"/>
      <c r="AA102" s="519"/>
      <c r="AB102" s="519"/>
      <c r="AC102" s="519"/>
      <c r="AD102" s="519"/>
      <c r="AE102" s="519"/>
      <c r="AF102" s="519"/>
      <c r="AG102" s="519"/>
      <c r="AH102" s="519"/>
      <c r="AI102" s="519"/>
      <c r="AJ102" s="519"/>
      <c r="AK102" s="519"/>
      <c r="AL102" s="519"/>
      <c r="AM102" s="519"/>
      <c r="AN102" s="519"/>
      <c r="AO102" s="519"/>
      <c r="AP102" s="519"/>
      <c r="AQ102" s="519"/>
      <c r="AR102" s="519"/>
      <c r="AS102" s="519"/>
      <c r="AT102" s="519"/>
      <c r="AU102" s="519"/>
      <c r="AV102" s="519"/>
      <c r="AW102" s="519"/>
      <c r="AX102" s="519"/>
      <c r="AY102" s="519"/>
      <c r="AZ102" s="519"/>
      <c r="BA102" s="519"/>
      <c r="BB102" s="519"/>
      <c r="BC102" s="519"/>
      <c r="BD102" s="519"/>
      <c r="BE102" s="519"/>
      <c r="BF102" s="519"/>
      <c r="BG102" s="519"/>
      <c r="BH102" s="519"/>
      <c r="BI102" s="519"/>
      <c r="BJ102" s="519"/>
      <c r="BK102" s="519"/>
      <c r="BL102" s="519"/>
      <c r="BM102" s="519"/>
      <c r="BN102" s="519"/>
      <c r="BO102" s="519"/>
      <c r="BP102" s="519"/>
      <c r="BQ102" s="519"/>
      <c r="BR102" s="519"/>
      <c r="BS102" s="519"/>
      <c r="BT102" s="519"/>
      <c r="BU102" s="519"/>
      <c r="BV102" s="519"/>
      <c r="BW102" s="519"/>
      <c r="BX102" s="519"/>
      <c r="BY102" s="519"/>
      <c r="BZ102" s="519"/>
      <c r="CA102" s="519"/>
      <c r="CB102" s="519"/>
      <c r="CC102" s="519"/>
      <c r="CD102" s="519"/>
      <c r="CE102" s="519"/>
      <c r="CF102" s="519"/>
      <c r="CG102" s="519"/>
      <c r="CH102" s="519"/>
    </row>
    <row r="103" spans="21:86" ht="15.75" x14ac:dyDescent="0.25">
      <c r="Y103" s="120"/>
      <c r="Z103" s="519"/>
      <c r="AA103" s="519"/>
      <c r="AB103" s="519"/>
      <c r="AC103" s="519"/>
      <c r="AD103" s="519"/>
      <c r="AE103" s="519"/>
      <c r="AF103" s="519"/>
      <c r="AG103" s="519"/>
      <c r="AH103" s="519"/>
      <c r="AI103" s="519"/>
      <c r="AJ103" s="519"/>
      <c r="AK103" s="519"/>
      <c r="AL103" s="519"/>
      <c r="AM103" s="519"/>
      <c r="AN103" s="519"/>
      <c r="AO103" s="519"/>
      <c r="AP103" s="519"/>
      <c r="AQ103" s="519"/>
      <c r="AR103" s="519"/>
      <c r="AS103" s="519"/>
      <c r="AT103" s="519"/>
      <c r="AU103" s="519"/>
      <c r="AV103" s="519"/>
      <c r="AW103" s="519"/>
      <c r="AX103" s="519"/>
      <c r="AY103" s="519"/>
      <c r="AZ103" s="519"/>
      <c r="BA103" s="519"/>
      <c r="BB103" s="519"/>
      <c r="BC103" s="519"/>
      <c r="BD103" s="519"/>
      <c r="BE103" s="519"/>
      <c r="BF103" s="519"/>
      <c r="BG103" s="519"/>
      <c r="BH103" s="519"/>
      <c r="BI103" s="519"/>
      <c r="BJ103" s="519"/>
      <c r="BK103" s="519"/>
      <c r="BL103" s="519"/>
      <c r="BM103" s="519"/>
      <c r="BN103" s="519"/>
      <c r="BO103" s="519"/>
      <c r="BP103" s="519"/>
      <c r="BQ103" s="519"/>
      <c r="BR103" s="519"/>
      <c r="BS103" s="519"/>
      <c r="BT103" s="519"/>
      <c r="BU103" s="519"/>
      <c r="BV103" s="519"/>
      <c r="BW103" s="519"/>
      <c r="BX103" s="519"/>
      <c r="BY103" s="519"/>
      <c r="BZ103" s="519"/>
      <c r="CA103" s="519"/>
      <c r="CB103" s="519"/>
      <c r="CC103" s="519"/>
      <c r="CD103" s="519"/>
      <c r="CE103" s="519"/>
      <c r="CF103" s="519"/>
      <c r="CG103" s="519"/>
      <c r="CH103" s="519"/>
    </row>
    <row r="104" spans="21:86" ht="15.75" x14ac:dyDescent="0.25">
      <c r="Y104" s="120"/>
      <c r="Z104" s="519"/>
      <c r="AA104" s="519"/>
      <c r="AB104" s="519"/>
      <c r="AC104" s="519"/>
      <c r="AD104" s="519"/>
      <c r="AE104" s="519"/>
      <c r="AF104" s="519"/>
      <c r="AG104" s="519"/>
      <c r="AH104" s="519"/>
      <c r="AI104" s="519"/>
      <c r="AJ104" s="519"/>
      <c r="AK104" s="519"/>
      <c r="AL104" s="519"/>
      <c r="AM104" s="519"/>
      <c r="AN104" s="519"/>
      <c r="AO104" s="519"/>
      <c r="AP104" s="519"/>
      <c r="AQ104" s="519"/>
      <c r="AR104" s="519"/>
      <c r="AS104" s="519"/>
      <c r="AT104" s="519"/>
      <c r="AU104" s="519"/>
      <c r="AV104" s="519"/>
      <c r="AW104" s="519"/>
      <c r="AX104" s="519"/>
      <c r="AY104" s="519"/>
      <c r="AZ104" s="519"/>
      <c r="BA104" s="519"/>
      <c r="BB104" s="519"/>
      <c r="BC104" s="519"/>
      <c r="BD104" s="519"/>
      <c r="BE104" s="519"/>
      <c r="BF104" s="519"/>
      <c r="BG104" s="519"/>
      <c r="BH104" s="519"/>
      <c r="BI104" s="519"/>
      <c r="BJ104" s="519"/>
      <c r="BK104" s="519"/>
      <c r="BL104" s="519"/>
      <c r="BM104" s="519"/>
      <c r="BN104" s="519"/>
      <c r="BO104" s="519"/>
      <c r="BP104" s="519"/>
      <c r="BQ104" s="519"/>
      <c r="BR104" s="519"/>
      <c r="BS104" s="519"/>
      <c r="BT104" s="519"/>
      <c r="BU104" s="519"/>
      <c r="BV104" s="519"/>
      <c r="BW104" s="519"/>
      <c r="BX104" s="519"/>
      <c r="BY104" s="519"/>
      <c r="BZ104" s="519"/>
      <c r="CA104" s="519"/>
      <c r="CB104" s="519"/>
      <c r="CC104" s="519"/>
      <c r="CD104" s="519"/>
      <c r="CE104" s="519"/>
      <c r="CF104" s="519"/>
      <c r="CG104" s="519"/>
      <c r="CH104" s="519"/>
    </row>
    <row r="105" spans="21:86" ht="15.75" x14ac:dyDescent="0.25">
      <c r="Y105" s="120"/>
      <c r="Z105" s="519"/>
      <c r="AA105" s="519"/>
      <c r="AB105" s="519"/>
      <c r="AC105" s="519"/>
      <c r="AD105" s="519"/>
      <c r="AE105" s="519"/>
      <c r="AF105" s="519"/>
      <c r="AG105" s="519"/>
      <c r="AH105" s="519"/>
      <c r="AI105" s="519"/>
      <c r="AJ105" s="519"/>
      <c r="AK105" s="519"/>
      <c r="AL105" s="519"/>
      <c r="AM105" s="519"/>
      <c r="AN105" s="519"/>
      <c r="AO105" s="519"/>
      <c r="AP105" s="519"/>
      <c r="AQ105" s="519"/>
      <c r="AR105" s="519"/>
      <c r="AS105" s="519"/>
      <c r="AT105" s="519"/>
      <c r="AU105" s="519"/>
      <c r="AV105" s="519"/>
      <c r="AW105" s="519"/>
      <c r="AX105" s="519"/>
      <c r="AY105" s="519"/>
      <c r="AZ105" s="519"/>
      <c r="BA105" s="519"/>
      <c r="BB105" s="519"/>
      <c r="BC105" s="519"/>
      <c r="BD105" s="519"/>
      <c r="BE105" s="519"/>
      <c r="BF105" s="519"/>
      <c r="BG105" s="519"/>
      <c r="BH105" s="519"/>
      <c r="BI105" s="519"/>
      <c r="BJ105" s="519"/>
      <c r="BK105" s="519"/>
      <c r="BL105" s="519"/>
      <c r="BM105" s="519"/>
      <c r="BN105" s="519"/>
      <c r="BO105" s="519"/>
      <c r="BP105" s="519"/>
      <c r="BQ105" s="519"/>
      <c r="BR105" s="519"/>
      <c r="BS105" s="519"/>
      <c r="BT105" s="519"/>
      <c r="BU105" s="519"/>
      <c r="BV105" s="519"/>
      <c r="BW105" s="519"/>
      <c r="BX105" s="519"/>
      <c r="BY105" s="519"/>
      <c r="BZ105" s="519"/>
      <c r="CA105" s="519"/>
      <c r="CB105" s="519"/>
      <c r="CC105" s="519"/>
      <c r="CD105" s="519"/>
      <c r="CE105" s="519"/>
      <c r="CF105" s="519"/>
      <c r="CG105" s="519"/>
      <c r="CH105" s="519"/>
    </row>
    <row r="106" spans="21:86" ht="15.75" x14ac:dyDescent="0.25">
      <c r="Y106" s="120"/>
      <c r="Z106" s="519"/>
      <c r="AA106" s="519"/>
      <c r="AB106" s="519"/>
      <c r="AC106" s="519"/>
      <c r="AD106" s="519"/>
      <c r="AE106" s="519"/>
      <c r="AF106" s="519"/>
      <c r="AG106" s="519"/>
      <c r="AH106" s="519"/>
      <c r="AI106" s="519"/>
      <c r="AJ106" s="519"/>
      <c r="AK106" s="519"/>
      <c r="AL106" s="519"/>
      <c r="AM106" s="519"/>
      <c r="AN106" s="519"/>
      <c r="AO106" s="519"/>
      <c r="AP106" s="519"/>
      <c r="AQ106" s="519"/>
      <c r="AR106" s="519"/>
      <c r="AS106" s="519"/>
      <c r="AT106" s="519"/>
      <c r="AU106" s="519"/>
      <c r="AV106" s="519"/>
      <c r="AW106" s="519"/>
      <c r="AX106" s="519"/>
      <c r="AY106" s="519"/>
      <c r="AZ106" s="519"/>
      <c r="BA106" s="519"/>
      <c r="BB106" s="519"/>
      <c r="BC106" s="519"/>
      <c r="BD106" s="519"/>
      <c r="BE106" s="519"/>
      <c r="BF106" s="519"/>
      <c r="BG106" s="519"/>
      <c r="BH106" s="519"/>
      <c r="BI106" s="519"/>
      <c r="BJ106" s="519"/>
      <c r="BK106" s="519"/>
      <c r="BL106" s="519"/>
      <c r="BM106" s="519"/>
      <c r="BN106" s="519"/>
      <c r="BO106" s="519"/>
      <c r="BP106" s="519"/>
      <c r="BQ106" s="519"/>
      <c r="BR106" s="519"/>
      <c r="BS106" s="519"/>
      <c r="BT106" s="519"/>
      <c r="BU106" s="519"/>
      <c r="BV106" s="519"/>
      <c r="BW106" s="519"/>
      <c r="BX106" s="519"/>
      <c r="BY106" s="519"/>
      <c r="BZ106" s="519"/>
      <c r="CA106" s="519"/>
      <c r="CB106" s="519"/>
      <c r="CC106" s="519"/>
      <c r="CD106" s="519"/>
      <c r="CE106" s="519"/>
      <c r="CF106" s="519"/>
      <c r="CG106" s="519"/>
      <c r="CH106" s="519"/>
    </row>
    <row r="107" spans="21:86" ht="15.75" x14ac:dyDescent="0.25">
      <c r="Y107" s="120"/>
      <c r="Z107" s="519"/>
      <c r="AA107" s="519"/>
      <c r="AB107" s="519"/>
      <c r="AC107" s="519"/>
      <c r="AD107" s="519"/>
      <c r="AE107" s="519"/>
      <c r="AF107" s="519"/>
      <c r="AG107" s="519"/>
      <c r="AH107" s="519"/>
      <c r="AI107" s="519"/>
      <c r="AJ107" s="519"/>
      <c r="AK107" s="519"/>
      <c r="AL107" s="519"/>
      <c r="AM107" s="519"/>
      <c r="AN107" s="519"/>
      <c r="AO107" s="519"/>
      <c r="AP107" s="519"/>
      <c r="AQ107" s="519"/>
      <c r="AR107" s="519"/>
      <c r="AS107" s="519"/>
      <c r="AT107" s="519"/>
      <c r="AU107" s="519"/>
      <c r="AV107" s="519"/>
      <c r="AW107" s="519"/>
      <c r="AX107" s="519"/>
      <c r="AY107" s="519"/>
      <c r="AZ107" s="519"/>
      <c r="BA107" s="519"/>
      <c r="BB107" s="519"/>
      <c r="BC107" s="519"/>
      <c r="BD107" s="519"/>
      <c r="BE107" s="519"/>
      <c r="BF107" s="519"/>
      <c r="BG107" s="519"/>
      <c r="BH107" s="519"/>
      <c r="BI107" s="519"/>
      <c r="BJ107" s="519"/>
      <c r="BK107" s="519"/>
      <c r="BL107" s="519"/>
      <c r="BM107" s="519"/>
      <c r="BN107" s="519"/>
      <c r="BO107" s="519"/>
      <c r="BP107" s="519"/>
      <c r="BQ107" s="519"/>
      <c r="BR107" s="519"/>
      <c r="BS107" s="519"/>
      <c r="BT107" s="519"/>
      <c r="BU107" s="519"/>
      <c r="BV107" s="519"/>
      <c r="BW107" s="519"/>
      <c r="BX107" s="519"/>
      <c r="BY107" s="519"/>
      <c r="BZ107" s="519"/>
      <c r="CA107" s="519"/>
      <c r="CB107" s="519"/>
      <c r="CC107" s="519"/>
      <c r="CD107" s="519"/>
      <c r="CE107" s="519"/>
      <c r="CF107" s="519"/>
      <c r="CG107" s="519"/>
      <c r="CH107" s="519"/>
    </row>
    <row r="108" spans="21:86" ht="15.75" x14ac:dyDescent="0.25">
      <c r="Y108" s="120"/>
      <c r="Z108" s="519"/>
      <c r="AA108" s="519"/>
      <c r="AB108" s="519"/>
      <c r="AC108" s="519"/>
      <c r="AD108" s="519"/>
      <c r="AE108" s="519"/>
      <c r="AF108" s="519"/>
      <c r="AG108" s="519"/>
      <c r="AH108" s="519"/>
      <c r="AI108" s="519"/>
      <c r="AJ108" s="519"/>
      <c r="AK108" s="519"/>
      <c r="AL108" s="519"/>
      <c r="AM108" s="519"/>
      <c r="AN108" s="519"/>
      <c r="AO108" s="519"/>
      <c r="AP108" s="519"/>
      <c r="AQ108" s="519"/>
      <c r="AR108" s="519"/>
      <c r="AS108" s="519"/>
      <c r="AT108" s="519"/>
      <c r="AU108" s="519"/>
      <c r="AV108" s="519"/>
      <c r="AW108" s="519"/>
      <c r="AX108" s="519"/>
      <c r="AY108" s="519"/>
      <c r="AZ108" s="519"/>
      <c r="BA108" s="519"/>
      <c r="BB108" s="519"/>
      <c r="BC108" s="519"/>
      <c r="BD108" s="519"/>
      <c r="BE108" s="519"/>
      <c r="BF108" s="519"/>
      <c r="BG108" s="519"/>
      <c r="BH108" s="519"/>
      <c r="BI108" s="519"/>
      <c r="BJ108" s="519"/>
      <c r="BK108" s="519"/>
      <c r="BL108" s="519"/>
      <c r="BM108" s="519"/>
      <c r="BN108" s="519"/>
      <c r="BO108" s="519"/>
      <c r="BP108" s="519"/>
      <c r="BQ108" s="519"/>
      <c r="BR108" s="519"/>
      <c r="BS108" s="519"/>
      <c r="BT108" s="519"/>
      <c r="BU108" s="519"/>
      <c r="BV108" s="519"/>
      <c r="BW108" s="519"/>
      <c r="BX108" s="519"/>
      <c r="BY108" s="519"/>
      <c r="BZ108" s="519"/>
      <c r="CA108" s="519"/>
      <c r="CB108" s="519"/>
      <c r="CC108" s="519"/>
      <c r="CD108" s="519"/>
      <c r="CE108" s="519"/>
      <c r="CF108" s="519"/>
      <c r="CG108" s="519"/>
      <c r="CH108" s="519"/>
    </row>
    <row r="109" spans="21:86" ht="15.75" x14ac:dyDescent="0.25">
      <c r="Y109" s="120"/>
      <c r="Z109" s="519"/>
      <c r="AA109" s="519"/>
      <c r="AB109" s="519"/>
      <c r="AC109" s="519"/>
      <c r="AD109" s="519"/>
      <c r="AE109" s="519"/>
      <c r="AF109" s="519"/>
      <c r="AG109" s="519"/>
      <c r="AH109" s="519"/>
      <c r="AI109" s="519"/>
      <c r="AJ109" s="519"/>
      <c r="AK109" s="519"/>
      <c r="AL109" s="519"/>
      <c r="AM109" s="519"/>
      <c r="AN109" s="519"/>
      <c r="AO109" s="519"/>
      <c r="AP109" s="519"/>
      <c r="AQ109" s="519"/>
      <c r="AR109" s="519"/>
      <c r="AS109" s="519"/>
      <c r="AT109" s="519"/>
      <c r="AU109" s="519"/>
      <c r="AV109" s="519"/>
      <c r="AW109" s="519"/>
      <c r="AX109" s="519"/>
      <c r="AY109" s="519"/>
      <c r="AZ109" s="519"/>
      <c r="BA109" s="519"/>
      <c r="BB109" s="519"/>
      <c r="BC109" s="519"/>
      <c r="BD109" s="519"/>
      <c r="BE109" s="519"/>
      <c r="BF109" s="519"/>
      <c r="BG109" s="519"/>
      <c r="BH109" s="519"/>
      <c r="BI109" s="519"/>
      <c r="BJ109" s="519"/>
      <c r="BK109" s="519"/>
      <c r="BL109" s="519"/>
      <c r="BM109" s="519"/>
      <c r="BN109" s="519"/>
      <c r="BO109" s="519"/>
      <c r="BP109" s="519"/>
      <c r="BQ109" s="519"/>
      <c r="BR109" s="519"/>
      <c r="BS109" s="519"/>
      <c r="BT109" s="519"/>
      <c r="BU109" s="519"/>
      <c r="BV109" s="519"/>
      <c r="BW109" s="519"/>
      <c r="BX109" s="519"/>
      <c r="BY109" s="519"/>
      <c r="BZ109" s="519"/>
      <c r="CA109" s="519"/>
      <c r="CB109" s="519"/>
      <c r="CC109" s="519"/>
      <c r="CD109" s="519"/>
      <c r="CE109" s="519"/>
      <c r="CF109" s="519"/>
      <c r="CG109" s="519"/>
      <c r="CH109" s="519"/>
    </row>
    <row r="110" spans="21:86" ht="15.75" x14ac:dyDescent="0.25">
      <c r="Y110" s="120"/>
      <c r="Z110" s="519"/>
      <c r="AA110" s="519"/>
      <c r="AB110" s="519"/>
      <c r="AC110" s="519"/>
      <c r="AD110" s="519"/>
      <c r="AE110" s="519"/>
      <c r="AF110" s="519"/>
      <c r="AG110" s="519"/>
      <c r="AH110" s="519"/>
      <c r="AI110" s="519"/>
      <c r="AJ110" s="519"/>
      <c r="AK110" s="519"/>
      <c r="AL110" s="519"/>
      <c r="AM110" s="519"/>
      <c r="AN110" s="519"/>
      <c r="AO110" s="519"/>
      <c r="AP110" s="519"/>
      <c r="AQ110" s="519"/>
      <c r="AR110" s="519"/>
      <c r="AS110" s="519"/>
      <c r="AT110" s="519"/>
      <c r="AU110" s="519"/>
      <c r="AV110" s="519"/>
      <c r="AW110" s="519"/>
      <c r="AX110" s="519"/>
      <c r="AY110" s="519"/>
      <c r="AZ110" s="519"/>
      <c r="BA110" s="519"/>
      <c r="BB110" s="519"/>
      <c r="BC110" s="519"/>
      <c r="BD110" s="519"/>
      <c r="BE110" s="519"/>
      <c r="BF110" s="519"/>
      <c r="BG110" s="519"/>
      <c r="BH110" s="519"/>
      <c r="BI110" s="519"/>
      <c r="BJ110" s="519"/>
      <c r="BK110" s="519"/>
      <c r="BL110" s="519"/>
      <c r="BM110" s="519"/>
      <c r="BN110" s="519"/>
      <c r="BO110" s="519"/>
      <c r="BP110" s="519"/>
      <c r="BQ110" s="519"/>
      <c r="BR110" s="519"/>
      <c r="BS110" s="519"/>
      <c r="BT110" s="519"/>
      <c r="BU110" s="519"/>
      <c r="BV110" s="519"/>
      <c r="BW110" s="519"/>
      <c r="BX110" s="519"/>
      <c r="BY110" s="519"/>
      <c r="BZ110" s="519"/>
      <c r="CA110" s="519"/>
      <c r="CB110" s="519"/>
      <c r="CC110" s="519"/>
      <c r="CD110" s="519"/>
      <c r="CE110" s="519"/>
      <c r="CF110" s="519"/>
      <c r="CG110" s="519"/>
      <c r="CH110" s="519"/>
    </row>
    <row r="111" spans="21:86" ht="15.75" x14ac:dyDescent="0.25">
      <c r="Y111" s="120"/>
      <c r="Z111" s="519"/>
      <c r="AA111" s="519"/>
      <c r="AB111" s="519"/>
      <c r="AC111" s="519"/>
      <c r="AD111" s="519"/>
      <c r="AE111" s="519"/>
      <c r="AF111" s="519"/>
      <c r="AG111" s="519"/>
      <c r="AH111" s="519"/>
      <c r="AI111" s="519"/>
      <c r="AJ111" s="519"/>
      <c r="AK111" s="519"/>
      <c r="AL111" s="519"/>
      <c r="AM111" s="519"/>
      <c r="AN111" s="519"/>
      <c r="AO111" s="519"/>
      <c r="AP111" s="519"/>
      <c r="AQ111" s="519"/>
      <c r="AR111" s="519"/>
      <c r="AS111" s="519"/>
      <c r="AT111" s="519"/>
      <c r="AU111" s="519"/>
      <c r="AV111" s="519"/>
      <c r="AW111" s="519"/>
      <c r="AX111" s="519"/>
      <c r="AY111" s="519"/>
      <c r="AZ111" s="519"/>
      <c r="BA111" s="519"/>
      <c r="BB111" s="519"/>
      <c r="BC111" s="519"/>
      <c r="BD111" s="519"/>
      <c r="BE111" s="519"/>
      <c r="BF111" s="519"/>
      <c r="BG111" s="519"/>
      <c r="BH111" s="519"/>
      <c r="BI111" s="519"/>
      <c r="BJ111" s="519"/>
      <c r="BK111" s="519"/>
      <c r="BL111" s="519"/>
      <c r="BM111" s="519"/>
      <c r="BN111" s="519"/>
      <c r="BO111" s="519"/>
      <c r="BP111" s="519"/>
      <c r="BQ111" s="519"/>
      <c r="BR111" s="519"/>
      <c r="BS111" s="519"/>
      <c r="BT111" s="519"/>
      <c r="BU111" s="519"/>
      <c r="BV111" s="519"/>
      <c r="BW111" s="519"/>
      <c r="BX111" s="519"/>
      <c r="BY111" s="519"/>
      <c r="BZ111" s="519"/>
      <c r="CA111" s="519"/>
      <c r="CB111" s="519"/>
      <c r="CC111" s="519"/>
      <c r="CD111" s="519"/>
      <c r="CE111" s="519"/>
      <c r="CF111" s="519"/>
      <c r="CG111" s="519"/>
      <c r="CH111" s="519"/>
    </row>
  </sheetData>
  <sheetProtection sheet="1" formatCells="0" formatColumns="0" formatRows="0" selectLockedCells="1"/>
  <mergeCells count="40">
    <mergeCell ref="BQ5:BR5"/>
    <mergeCell ref="BS5:BX5"/>
    <mergeCell ref="BY5:CD5"/>
    <mergeCell ref="CE5:CJ5"/>
    <mergeCell ref="P33:P34"/>
    <mergeCell ref="R33:R34"/>
    <mergeCell ref="U47:CI48"/>
    <mergeCell ref="X50:Y50"/>
    <mergeCell ref="A40:B43"/>
    <mergeCell ref="C40:R42"/>
    <mergeCell ref="C43:R43"/>
    <mergeCell ref="A36:B38"/>
    <mergeCell ref="C36:R38"/>
    <mergeCell ref="A5:R5"/>
    <mergeCell ref="H1:I1"/>
    <mergeCell ref="H2:I2"/>
    <mergeCell ref="A4:R4"/>
    <mergeCell ref="Q6:R6"/>
    <mergeCell ref="A6:A7"/>
    <mergeCell ref="B6:B7"/>
    <mergeCell ref="C6:C7"/>
    <mergeCell ref="D6:F6"/>
    <mergeCell ref="G6:I6"/>
    <mergeCell ref="J6:J7"/>
    <mergeCell ref="K6:K7"/>
    <mergeCell ref="L6:L7"/>
    <mergeCell ref="M6:M7"/>
    <mergeCell ref="N6:N7"/>
    <mergeCell ref="O6:P6"/>
    <mergeCell ref="BD2:BN4"/>
    <mergeCell ref="T5:BB5"/>
    <mergeCell ref="T6:T7"/>
    <mergeCell ref="U6:Z6"/>
    <mergeCell ref="AI6:AN6"/>
    <mergeCell ref="AP6:AU6"/>
    <mergeCell ref="AB6:AG6"/>
    <mergeCell ref="AW6:BB6"/>
    <mergeCell ref="BD5:BH6"/>
    <mergeCell ref="BJ5:BN6"/>
    <mergeCell ref="T4:BB4"/>
  </mergeCells>
  <dataValidations count="2">
    <dataValidation type="list" allowBlank="1" sqref="L8:L31" xr:uid="{00000000-0002-0000-0500-000001000000}">
      <formula1>CO$6:CO$10</formula1>
    </dataValidation>
    <dataValidation type="list" allowBlank="1" sqref="J8:J31" xr:uid="{00000000-0002-0000-0500-000000000000}">
      <formula1>CO$17:CO$20</formula1>
    </dataValidation>
  </dataValidations>
  <pageMargins left="0.7" right="0.7" top="0.75" bottom="0.75" header="0.3" footer="0.3"/>
  <pageSetup paperSize="9" scale="46" fitToHeight="0" orientation="landscape" r:id="rId1"/>
  <colBreaks count="4" manualBreakCount="4">
    <brk id="18" max="31" man="1"/>
    <brk id="54" max="31" man="1"/>
    <brk id="66" max="31" man="1"/>
    <brk id="89" max="31"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2000000}">
          <x14:formula1>
            <xm:f>Düngemittel!$B$6:$B$64</xm:f>
          </x14:formula1>
          <xm:sqref>AJ8:AJ31 AQ8:AQ31 AX8:AX31 AC8:AC31 V8:V31</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40</vt:i4>
      </vt:variant>
      <vt:variant>
        <vt:lpstr>Benannte Bereiche</vt:lpstr>
      </vt:variant>
      <vt:variant>
        <vt:i4>171</vt:i4>
      </vt:variant>
    </vt:vector>
  </HeadingPairs>
  <TitlesOfParts>
    <vt:vector size="211" baseType="lpstr">
      <vt:lpstr>Einführung</vt:lpstr>
      <vt:lpstr>DüV-N-Ackerbau (1)</vt:lpstr>
      <vt:lpstr>DüV-N-Ackerbau (2)</vt:lpstr>
      <vt:lpstr>DüV-N-Ackerbau (3)</vt:lpstr>
      <vt:lpstr>DüV-N-Ackerbau (4)</vt:lpstr>
      <vt:lpstr>DüV-N-Ackerbau NbG</vt:lpstr>
      <vt:lpstr>DüV-N-Zweit-Zwischenfrucht</vt:lpstr>
      <vt:lpstr>DüV-N-Zweit-Zwischenfrucht NbG</vt:lpstr>
      <vt:lpstr>DüV-N-Grünland</vt:lpstr>
      <vt:lpstr>DüV-N-Grünland NbG</vt:lpstr>
      <vt:lpstr>DüV-N-Feldfutter</vt:lpstr>
      <vt:lpstr>DüV-N-Feldfutter NbG</vt:lpstr>
      <vt:lpstr>N-Weinbau</vt:lpstr>
      <vt:lpstr>N-Weinbau NbG</vt:lpstr>
      <vt:lpstr>Auswertung</vt:lpstr>
      <vt:lpstr>Düngemittel</vt:lpstr>
      <vt:lpstr>Tierhaltung</vt:lpstr>
      <vt:lpstr>Organ. Dünger</vt:lpstr>
      <vt:lpstr>Daten Tierhaltung</vt:lpstr>
      <vt:lpstr>PKMg-Planer Ackerland</vt:lpstr>
      <vt:lpstr>PKMg-Planer Grünland</vt:lpstr>
      <vt:lpstr>Wz</vt:lpstr>
      <vt:lpstr>Trit</vt:lpstr>
      <vt:lpstr>Ro</vt:lpstr>
      <vt:lpstr>Wi-FuGe</vt:lpstr>
      <vt:lpstr>Wi-BrGe</vt:lpstr>
      <vt:lpstr>So-Ge</vt:lpstr>
      <vt:lpstr>Hafer</vt:lpstr>
      <vt:lpstr>ZRübe</vt:lpstr>
      <vt:lpstr>Raps</vt:lpstr>
      <vt:lpstr>K-Mais</vt:lpstr>
      <vt:lpstr>S-Mais</vt:lpstr>
      <vt:lpstr>Kart</vt:lpstr>
      <vt:lpstr>FrühKart</vt:lpstr>
      <vt:lpstr>Wiese</vt:lpstr>
      <vt:lpstr>Weide</vt:lpstr>
      <vt:lpstr>Mähweide</vt:lpstr>
      <vt:lpstr>GrasKleeLuz</vt:lpstr>
      <vt:lpstr>Faktoren</vt:lpstr>
      <vt:lpstr>Funktionen</vt:lpstr>
      <vt:lpstr>'DüV-N-Grünland'!_23.02.21</vt:lpstr>
      <vt:lpstr>'DüV-N-Grünland NbG'!_23.02.21</vt:lpstr>
      <vt:lpstr>FrühKart!Abreife</vt:lpstr>
      <vt:lpstr>Hafer!Abreife</vt:lpstr>
      <vt:lpstr>'K-Mais'!Abreife</vt:lpstr>
      <vt:lpstr>'S-Mais'!Abreife</vt:lpstr>
      <vt:lpstr>'So-Ge'!Abreife</vt:lpstr>
      <vt:lpstr>'DüV-N-Feldfutter'!Ackerfutter</vt:lpstr>
      <vt:lpstr>'DüV-N-Feldfutter NbG'!Ackerfutter</vt:lpstr>
      <vt:lpstr>'DüV-N-Grünland'!Ackerfutter</vt:lpstr>
      <vt:lpstr>'DüV-N-Grünland NbG'!Ackerfutter</vt:lpstr>
      <vt:lpstr>'DüV-N-Zweit-Zwischenfrucht'!Ackerfutter</vt:lpstr>
      <vt:lpstr>'DüV-N-Zweit-Zwischenfrucht NbG'!Ackerfutter</vt:lpstr>
      <vt:lpstr>Aufnahme_organischer_Dünger__Wirtschaftsdünger_und_Gärreste__von_anderen_Betrieben__ohne_Kompost</vt:lpstr>
      <vt:lpstr>Auswertung!Druckbereich</vt:lpstr>
      <vt:lpstr>Düngemittel!Druckbereich</vt:lpstr>
      <vt:lpstr>'DüV-N-Ackerbau (1)'!Druckbereich</vt:lpstr>
      <vt:lpstr>'DüV-N-Ackerbau (2)'!Druckbereich</vt:lpstr>
      <vt:lpstr>'DüV-N-Ackerbau (3)'!Druckbereich</vt:lpstr>
      <vt:lpstr>'DüV-N-Ackerbau (4)'!Druckbereich</vt:lpstr>
      <vt:lpstr>'DüV-N-Ackerbau NbG'!Druckbereich</vt:lpstr>
      <vt:lpstr>'DüV-N-Feldfutter'!Druckbereich</vt:lpstr>
      <vt:lpstr>'DüV-N-Feldfutter NbG'!Druckbereich</vt:lpstr>
      <vt:lpstr>'DüV-N-Grünland'!Druckbereich</vt:lpstr>
      <vt:lpstr>'DüV-N-Grünland NbG'!Druckbereich</vt:lpstr>
      <vt:lpstr>'DüV-N-Zweit-Zwischenfrucht'!Druckbereich</vt:lpstr>
      <vt:lpstr>'DüV-N-Zweit-Zwischenfrucht NbG'!Druckbereich</vt:lpstr>
      <vt:lpstr>FrühKart!Druckbereich</vt:lpstr>
      <vt:lpstr>GrasKleeLuz!Druckbereich</vt:lpstr>
      <vt:lpstr>Hafer!Druckbereich</vt:lpstr>
      <vt:lpstr>Kart!Druckbereich</vt:lpstr>
      <vt:lpstr>'K-Mais'!Druckbereich</vt:lpstr>
      <vt:lpstr>Mähweide!Druckbereich</vt:lpstr>
      <vt:lpstr>'N-Weinbau'!Druckbereich</vt:lpstr>
      <vt:lpstr>'N-Weinbau NbG'!Druckbereich</vt:lpstr>
      <vt:lpstr>'PKMg-Planer Ackerland'!Druckbereich</vt:lpstr>
      <vt:lpstr>'PKMg-Planer Grünland'!Druckbereich</vt:lpstr>
      <vt:lpstr>Raps!Druckbereich</vt:lpstr>
      <vt:lpstr>Ro!Druckbereich</vt:lpstr>
      <vt:lpstr>'S-Mais'!Druckbereich</vt:lpstr>
      <vt:lpstr>'So-Ge'!Druckbereich</vt:lpstr>
      <vt:lpstr>Tierhaltung!Druckbereich</vt:lpstr>
      <vt:lpstr>Trit!Druckbereich</vt:lpstr>
      <vt:lpstr>Weide!Druckbereich</vt:lpstr>
      <vt:lpstr>'Wi-BrGe'!Druckbereich</vt:lpstr>
      <vt:lpstr>Wiese!Druckbereich</vt:lpstr>
      <vt:lpstr>'Wi-FuGe'!Druckbereich</vt:lpstr>
      <vt:lpstr>Wz!Druckbereich</vt:lpstr>
      <vt:lpstr>ZRübe!Druckbereich</vt:lpstr>
      <vt:lpstr>'DüV-N-Grünland NbG'!Düngemittel</vt:lpstr>
      <vt:lpstr>Düngemittel</vt:lpstr>
      <vt:lpstr>Raps!FM</vt:lpstr>
      <vt:lpstr>'DüV-N-Ackerbau (1)'!Grünlandhumus</vt:lpstr>
      <vt:lpstr>'DüV-N-Ackerbau (2)'!Grünlandhumus</vt:lpstr>
      <vt:lpstr>'DüV-N-Ackerbau (3)'!Grünlandhumus</vt:lpstr>
      <vt:lpstr>'DüV-N-Ackerbau (4)'!Grünlandhumus</vt:lpstr>
      <vt:lpstr>'DüV-N-Ackerbau NbG'!Grünlandhumus</vt:lpstr>
      <vt:lpstr>'DüV-N-Feldfutter'!Grünlandhumus</vt:lpstr>
      <vt:lpstr>'DüV-N-Feldfutter NbG'!Grünlandhumus</vt:lpstr>
      <vt:lpstr>'DüV-N-Grünland'!Grünlandhumus</vt:lpstr>
      <vt:lpstr>'DüV-N-Grünland NbG'!Grünlandhumus</vt:lpstr>
      <vt:lpstr>'DüV-N-Zweit-Zwischenfrucht'!Grünlandhumus</vt:lpstr>
      <vt:lpstr>'DüV-N-Zweit-Zwischenfrucht NbG'!Grünlandhumus</vt:lpstr>
      <vt:lpstr>'N-Weinbau'!Grünlandhumus</vt:lpstr>
      <vt:lpstr>'N-Weinbau NbG'!Grünlandhumus</vt:lpstr>
      <vt:lpstr>'DüV-N-Ackerbau (1)'!Grünlandleguminosen</vt:lpstr>
      <vt:lpstr>'DüV-N-Ackerbau (2)'!Grünlandleguminosen</vt:lpstr>
      <vt:lpstr>'DüV-N-Ackerbau (3)'!Grünlandleguminosen</vt:lpstr>
      <vt:lpstr>'DüV-N-Ackerbau (4)'!Grünlandleguminosen</vt:lpstr>
      <vt:lpstr>'DüV-N-Ackerbau NbG'!Grünlandleguminosen</vt:lpstr>
      <vt:lpstr>'DüV-N-Feldfutter'!Grünlandleguminosen</vt:lpstr>
      <vt:lpstr>'DüV-N-Feldfutter NbG'!Grünlandleguminosen</vt:lpstr>
      <vt:lpstr>'DüV-N-Grünland'!Grünlandleguminosen</vt:lpstr>
      <vt:lpstr>'DüV-N-Grünland NbG'!Grünlandleguminosen</vt:lpstr>
      <vt:lpstr>'DüV-N-Zweit-Zwischenfrucht'!Grünlandleguminosen</vt:lpstr>
      <vt:lpstr>'DüV-N-Zweit-Zwischenfrucht NbG'!Grünlandleguminosen</vt:lpstr>
      <vt:lpstr>'N-Weinbau'!Grünlandleguminosen</vt:lpstr>
      <vt:lpstr>'N-Weinbau NbG'!Grünlandleguminosen</vt:lpstr>
      <vt:lpstr>'DüV-N-Ackerbau (1)'!Humus</vt:lpstr>
      <vt:lpstr>'DüV-N-Ackerbau (2)'!Humus</vt:lpstr>
      <vt:lpstr>'DüV-N-Ackerbau (3)'!Humus</vt:lpstr>
      <vt:lpstr>'DüV-N-Ackerbau (4)'!Humus</vt:lpstr>
      <vt:lpstr>'DüV-N-Ackerbau NbG'!Humus</vt:lpstr>
      <vt:lpstr>'DüV-N-Feldfutter'!Humus</vt:lpstr>
      <vt:lpstr>'DüV-N-Feldfutter NbG'!Humus</vt:lpstr>
      <vt:lpstr>'DüV-N-Grünland'!Humus</vt:lpstr>
      <vt:lpstr>'DüV-N-Grünland NbG'!Humus</vt:lpstr>
      <vt:lpstr>'DüV-N-Zweit-Zwischenfrucht'!Humus</vt:lpstr>
      <vt:lpstr>'DüV-N-Zweit-Zwischenfrucht NbG'!Humus</vt:lpstr>
      <vt:lpstr>'DüV-N-Ackerbau (1)'!Kulturen</vt:lpstr>
      <vt:lpstr>'DüV-N-Ackerbau (2)'!Kulturen</vt:lpstr>
      <vt:lpstr>'DüV-N-Ackerbau (3)'!Kulturen</vt:lpstr>
      <vt:lpstr>'DüV-N-Ackerbau (4)'!Kulturen</vt:lpstr>
      <vt:lpstr>'DüV-N-Ackerbau NbG'!Kulturen</vt:lpstr>
      <vt:lpstr>FrühKart!loD</vt:lpstr>
      <vt:lpstr>GrasKleeLuz!loD</vt:lpstr>
      <vt:lpstr>Hafer!loD</vt:lpstr>
      <vt:lpstr>Kart!loD</vt:lpstr>
      <vt:lpstr>'K-Mais'!loD</vt:lpstr>
      <vt:lpstr>Mähweide!loD</vt:lpstr>
      <vt:lpstr>'S-Mais'!loD</vt:lpstr>
      <vt:lpstr>'So-Ge'!loD</vt:lpstr>
      <vt:lpstr>Weide!loD</vt:lpstr>
      <vt:lpstr>Wiese!loD</vt:lpstr>
      <vt:lpstr>ZRübe!loD</vt:lpstr>
      <vt:lpstr>GrasKleeLuz!N_Bindung_der_Leguminosen</vt:lpstr>
      <vt:lpstr>'DüV-N-Feldfutter NbG'!NP_Lösung_10_34</vt:lpstr>
      <vt:lpstr>'DüV-N-Zweit-Zwischenfrucht'!NP_Lösung_10_34</vt:lpstr>
      <vt:lpstr>'DüV-N-Zweit-Zwischenfrucht NbG'!NP_Lösung_10_34</vt:lpstr>
      <vt:lpstr>NP_Lösung_10_34</vt:lpstr>
      <vt:lpstr>Raps!oD</vt:lpstr>
      <vt:lpstr>Ro!oD</vt:lpstr>
      <vt:lpstr>Trit!oD</vt:lpstr>
      <vt:lpstr>'Wi-BrGe'!oD</vt:lpstr>
      <vt:lpstr>'Wi-FuGe'!oD</vt:lpstr>
      <vt:lpstr>Wz!oD</vt:lpstr>
      <vt:lpstr>Wz!Qualitätsgruppe</vt:lpstr>
      <vt:lpstr>Raps!Reife</vt:lpstr>
      <vt:lpstr>Ro!Reife</vt:lpstr>
      <vt:lpstr>Trit!Reife</vt:lpstr>
      <vt:lpstr>'Wi-BrGe'!Reife</vt:lpstr>
      <vt:lpstr>'Wi-FuGe'!Reife</vt:lpstr>
      <vt:lpstr>Wz!Reife</vt:lpstr>
      <vt:lpstr>'DüV-N-Ackerbau (2)'!Rindergülle</vt:lpstr>
      <vt:lpstr>'DüV-N-Ackerbau (3)'!Rindergülle</vt:lpstr>
      <vt:lpstr>'DüV-N-Ackerbau (4)'!Rindergülle</vt:lpstr>
      <vt:lpstr>'DüV-N-Ackerbau NbG'!Rindergülle</vt:lpstr>
      <vt:lpstr>Rindergülle</vt:lpstr>
      <vt:lpstr>Standard_Rindergülle_7_5___TM</vt:lpstr>
      <vt:lpstr>Tierkategorien</vt:lpstr>
      <vt:lpstr>FrühKart!Vorfrucht</vt:lpstr>
      <vt:lpstr>Hafer!Vorfrucht</vt:lpstr>
      <vt:lpstr>Kart!Vorfrucht</vt:lpstr>
      <vt:lpstr>'K-Mais'!Vorfrucht</vt:lpstr>
      <vt:lpstr>Mähweide!Vorfrucht</vt:lpstr>
      <vt:lpstr>Raps!Vorfrucht</vt:lpstr>
      <vt:lpstr>Ro!Vorfrucht</vt:lpstr>
      <vt:lpstr>'S-Mais'!Vorfrucht</vt:lpstr>
      <vt:lpstr>'So-Ge'!Vorfrucht</vt:lpstr>
      <vt:lpstr>Trit!Vorfrucht</vt:lpstr>
      <vt:lpstr>Weide!Vorfrucht</vt:lpstr>
      <vt:lpstr>'Wi-BrGe'!Vorfrucht</vt:lpstr>
      <vt:lpstr>Wiese!Vorfrucht</vt:lpstr>
      <vt:lpstr>'Wi-FuGe'!Vorfrucht</vt:lpstr>
      <vt:lpstr>Wz!Vorfrucht</vt:lpstr>
      <vt:lpstr>ZRübe!Vorfrucht</vt:lpstr>
      <vt:lpstr>Raps!Witterung</vt:lpstr>
      <vt:lpstr>Ro!Witterung</vt:lpstr>
      <vt:lpstr>Trit!Witterung</vt:lpstr>
      <vt:lpstr>'Wi-BrGe'!Witterung</vt:lpstr>
      <vt:lpstr>'Wi-FuGe'!Witterung</vt:lpstr>
      <vt:lpstr>Wz!Witterung</vt:lpstr>
      <vt:lpstr>'DüV-N-Grünland NbG'!xy</vt:lpstr>
      <vt:lpstr>xy</vt:lpstr>
      <vt:lpstr>FrühKart!Zwischenfrucht</vt:lpstr>
      <vt:lpstr>GrasKleeLuz!Zwischenfrucht</vt:lpstr>
      <vt:lpstr>Hafer!Zwischenfrucht</vt:lpstr>
      <vt:lpstr>Kart!Zwischenfrucht</vt:lpstr>
      <vt:lpstr>'K-Mais'!Zwischenfrucht</vt:lpstr>
      <vt:lpstr>Mähweide!Zwischenfrucht</vt:lpstr>
      <vt:lpstr>Raps!Zwischenfrucht</vt:lpstr>
      <vt:lpstr>Ro!Zwischenfrucht</vt:lpstr>
      <vt:lpstr>'S-Mais'!Zwischenfrucht</vt:lpstr>
      <vt:lpstr>'So-Ge'!Zwischenfrucht</vt:lpstr>
      <vt:lpstr>Trit!Zwischenfrucht</vt:lpstr>
      <vt:lpstr>Weide!Zwischenfrucht</vt:lpstr>
      <vt:lpstr>'Wi-BrGe'!Zwischenfrucht</vt:lpstr>
      <vt:lpstr>Wiese!Zwischenfrucht</vt:lpstr>
      <vt:lpstr>'Wi-FuGe'!Zwischenfrucht</vt:lpstr>
      <vt:lpstr>Wz!Zwischenfrucht</vt:lpstr>
      <vt:lpstr>ZRübe!Zwischenfrucht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Fritsch</dc:creator>
  <cp:lastModifiedBy>Sebastian Jung</cp:lastModifiedBy>
  <cp:lastPrinted>2021-01-12T08:03:12Z</cp:lastPrinted>
  <dcterms:created xsi:type="dcterms:W3CDTF">2017-02-23T19:00:48Z</dcterms:created>
  <dcterms:modified xsi:type="dcterms:W3CDTF">2023-01-30T21:50:29Z</dcterms:modified>
</cp:coreProperties>
</file>